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theme/themeOverride1.xml" ContentType="application/vnd.openxmlformats-officedocument.themeOverrid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theme/themeOverride2.xml" ContentType="application/vnd.openxmlformats-officedocument.themeOverrid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3.xml" ContentType="application/vnd.openxmlformats-officedocument.themeOverrid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tables/table6.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style15.xml" ContentType="application/vnd.ms-office.chartstyle+xml"/>
  <Override PartName="/xl/charts/colors15.xml" ContentType="application/vnd.ms-office.chartcolorstyle+xml"/>
  <Override PartName="/xl/charts/chart21.xml" ContentType="application/vnd.openxmlformats-officedocument.drawingml.chart+xml"/>
  <Override PartName="/xl/charts/style16.xml" ContentType="application/vnd.ms-office.chartstyle+xml"/>
  <Override PartName="/xl/charts/colors16.xml" ContentType="application/vnd.ms-office.chartcolorstyle+xml"/>
  <Override PartName="/xl/charts/chart22.xml" ContentType="application/vnd.openxmlformats-officedocument.drawingml.chart+xml"/>
  <Override PartName="/xl/charts/style17.xml" ContentType="application/vnd.ms-office.chartstyle+xml"/>
  <Override PartName="/xl/charts/colors17.xml" ContentType="application/vnd.ms-office.chartcolorstyle+xml"/>
  <Override PartName="/xl/charts/chart23.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4.xml" ContentType="application/vnd.openxmlformats-officedocument.themeOverride+xml"/>
  <Override PartName="/xl/charts/chart24.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5.xml" ContentType="application/vnd.openxmlformats-officedocument.themeOverride+xml"/>
  <Override PartName="/xl/charts/chart25.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6.xml" ContentType="application/vnd.openxmlformats-officedocument.themeOverride+xml"/>
  <Override PartName="/xl/charts/chart26.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7.xml" ContentType="application/vnd.openxmlformats-officedocument.themeOverride+xml"/>
  <Override PartName="/xl/charts/chart27.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8.xml" ContentType="application/vnd.openxmlformats-officedocument.themeOverride+xml"/>
  <Override PartName="/xl/charts/chart28.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9.xml" ContentType="application/vnd.openxmlformats-officedocument.themeOverrid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0668a2714456d00a/ETSY/"/>
    </mc:Choice>
  </mc:AlternateContent>
  <xr:revisionPtr revIDLastSave="238" documentId="13_ncr:1_{ACF026BF-CF67-4704-BD8C-27EF40445733}" xr6:coauthVersionLast="47" xr6:coauthVersionMax="47" xr10:uidLastSave="{F1C352EE-5C8F-4C8E-999D-883B1F261CEF}"/>
  <bookViews>
    <workbookView xWindow="-98" yWindow="-98" windowWidth="21795" windowHeight="12975" activeTab="4" xr2:uid="{4F868917-756C-45C8-9859-C6DA84C1E0EC}"/>
  </bookViews>
  <sheets>
    <sheet name="Initial_Set-Up" sheetId="1" r:id="rId1"/>
    <sheet name="Backend" sheetId="3" state="hidden" r:id="rId2"/>
    <sheet name="Budget" sheetId="2" r:id="rId3"/>
    <sheet name="Transactions" sheetId="6" r:id="rId4"/>
    <sheet name="Dashboard" sheetId="8" r:id="rId5"/>
  </sheets>
  <definedNames>
    <definedName name="Currency">'Initial_Set-Up'!$S$27</definedName>
    <definedName name="Debt">Backend!$B$42:$B$51</definedName>
    <definedName name="Expenses">Backend!$B$18:$B$37</definedName>
    <definedName name="Income">Backend!$B$4:$B$13</definedName>
    <definedName name="Name">'Initial_Set-Up'!$S$20</definedName>
    <definedName name="Savings_Investments">Backend!$B$56:$B$65</definedName>
    <definedName name="Slicer_Month">#N/A</definedName>
    <definedName name="Year">'Initial_Set-Up'!$S$13</definedName>
  </definedNames>
  <calcPr calcId="191028"/>
  <pivotCaches>
    <pivotCache cacheId="550" r:id="rId6"/>
    <pivotCache cacheId="553" r:id="rId7"/>
    <pivotCache cacheId="556" r:id="rId8"/>
    <pivotCache cacheId="559" r:id="rId9"/>
    <pivotCache cacheId="562" r:id="rId10"/>
    <pivotCache cacheId="565" r:id="rId11"/>
    <pivotCache cacheId="568" r:id="rId12"/>
    <pivotCache cacheId="571" r:id="rId13"/>
    <pivotCache cacheId="574" r:id="rId14"/>
    <pivotCache cacheId="577" r:id="rId15"/>
    <pivotCache cacheId="580" r:id="rId16"/>
    <pivotCache cacheId="625" r:id="rId17"/>
  </pivotCaches>
  <extLst>
    <ext xmlns:x14="http://schemas.microsoft.com/office/spreadsheetml/2009/9/main" uri="{876F7934-8845-4945-9796-88D515C7AA90}">
      <x14:pivotCaches>
        <pivotCache cacheId="549"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841E416B-1EF1-43b6-AB56-02D37102CBD5}">
      <x15:pivotCaches>
        <pivotCache cacheId="583" r:id="rId20"/>
        <pivotCache cacheId="586" r:id="rId21"/>
        <pivotCache cacheId="589" r:id="rId22"/>
        <pivotCache cacheId="592" r:id="rId23"/>
        <pivotCache cacheId="595" r:id="rId24"/>
        <pivotCache cacheId="598" r:id="rId25"/>
        <pivotCache cacheId="601" r:id="rId26"/>
        <pivotCache cacheId="604" r:id="rId27"/>
        <pivotCache cacheId="607" r:id="rId28"/>
        <pivotCache cacheId="610" r:id="rId29"/>
        <pivotCache cacheId="613" r:id="rId30"/>
        <pivotCache cacheId="616" r:id="rId31"/>
        <pivotCache cacheId="619" r:id="rId32"/>
        <pivotCache cacheId="622" r:id="rId33"/>
      </x15:pivotCaches>
    </ext>
    <ext xmlns:x15="http://schemas.microsoft.com/office/spreadsheetml/2010/11/main" uri="{983426D0-5260-488c-9760-48F4B6AC55F4}">
      <x15:pivotTableReferences>
        <x15:pivotTableReference r:id="rId34"/>
        <x15:pivotTableReference r:id="rId35"/>
        <x15:pivotTableReference r:id="rId36"/>
        <x15:pivotTableReference r:id="rId37"/>
        <x15:pivotTableReference r:id="rId38"/>
        <x15:pivotTableReference r:id="rId39"/>
        <x15:pivotTableReference r:id="rId40"/>
        <x15:pivotTableReference r:id="rId41"/>
        <x15:pivotTableReference r:id="rId42"/>
        <x15:pivotTableReference r:id="rId43"/>
        <x15:pivotTableReference r:id="rId44"/>
        <x15:pivotTableReference r:id="rId45"/>
        <x15:pivotTableReference r:id="rId46"/>
        <x15:pivotTableReference r:id="rId47"/>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iv_Merge_97db1f78-d23e-489e-a227-4e44d304e097" name="Piv_Merge" connection="Query - Piv_Merge"/>
          <x15:modelTable id="Transaction_tbl_59f3204f-20e6-4d80-bfe1-06b11b1013d8" name="Transaction_tbl" connection="Query - Transaction_tbl"/>
          <x15:modelTable id="Category_Sub_401c5819-4a54-4c0e-b57a-b96708de86f1" name="Category_Sub" connection="Query - Category_Sub"/>
          <x15:modelTable id="Month_Sub_e3de9183-3d38-4842-bf8a-b94f95ddd589" name="Month_Sub" connection="Query - Month_Sub"/>
          <x15:modelTable id="Calendar" name="Calendar" connection="Connection"/>
        </x15:modelTables>
        <x15:modelRelationships>
          <x15:modelRelationship fromTable="Piv_Merge" fromColumn="Subcategory" toTable="Category_Sub" toColumn="Subcategory"/>
          <x15:modelRelationship fromTable="Piv_Merge" fromColumn="Month" toTable="Month_Sub" toColumn="Month"/>
          <x15:modelRelationship fromTable="Transaction_tbl" fromColumn="Date" toTable="Calendar" toColumn="Date"/>
          <x15:modelRelationship fromTable="Transaction_tbl" fromColumn="Subcategory" toTable="Category_Sub" toColumn="Subcategory"/>
          <x15:modelRelationship fromTable="Calendar" fromColumn="Month" toTable="Month_Sub" toColumn="Month"/>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0" i="2" l="1"/>
  <c r="AO50" i="3"/>
  <c r="P27" i="3"/>
  <c r="O27" i="3"/>
  <c r="N27" i="3"/>
  <c r="M27" i="3"/>
  <c r="L27" i="3"/>
  <c r="K27" i="3"/>
  <c r="J27" i="3"/>
  <c r="I27" i="3"/>
  <c r="H27" i="3"/>
  <c r="G27" i="3"/>
  <c r="F27" i="3"/>
  <c r="E27" i="3"/>
  <c r="B37" i="3"/>
  <c r="C37" i="3"/>
  <c r="D37" i="3" s="1"/>
  <c r="E37" i="3"/>
  <c r="F37" i="3"/>
  <c r="G37" i="3"/>
  <c r="H37" i="3"/>
  <c r="I37" i="3"/>
  <c r="J37" i="3"/>
  <c r="K37" i="3"/>
  <c r="L37" i="3"/>
  <c r="M37" i="3"/>
  <c r="N37" i="3"/>
  <c r="O37" i="3"/>
  <c r="P37" i="3"/>
  <c r="B36" i="3"/>
  <c r="C36" i="3"/>
  <c r="D36" i="3" s="1"/>
  <c r="E36" i="3"/>
  <c r="F36" i="3"/>
  <c r="G36" i="3"/>
  <c r="H36" i="3"/>
  <c r="I36" i="3"/>
  <c r="J36" i="3"/>
  <c r="K36" i="3"/>
  <c r="L36" i="3"/>
  <c r="M36" i="3"/>
  <c r="N36" i="3"/>
  <c r="O36" i="3"/>
  <c r="P36" i="3"/>
  <c r="Q36" i="3"/>
  <c r="B35" i="3"/>
  <c r="C35" i="3"/>
  <c r="D35" i="3" s="1"/>
  <c r="E35" i="3"/>
  <c r="F35" i="3"/>
  <c r="G35" i="3"/>
  <c r="H35" i="3"/>
  <c r="I35" i="3"/>
  <c r="J35" i="3"/>
  <c r="K35" i="3"/>
  <c r="L35" i="3"/>
  <c r="M35" i="3"/>
  <c r="N35" i="3"/>
  <c r="O35" i="3"/>
  <c r="P35" i="3"/>
  <c r="Q35" i="3"/>
  <c r="B34" i="3"/>
  <c r="C34" i="3"/>
  <c r="D34" i="3" s="1"/>
  <c r="E34" i="3"/>
  <c r="F34" i="3"/>
  <c r="G34" i="3"/>
  <c r="H34" i="3"/>
  <c r="I34" i="3"/>
  <c r="J34" i="3"/>
  <c r="K34" i="3"/>
  <c r="L34" i="3"/>
  <c r="M34" i="3"/>
  <c r="N34" i="3"/>
  <c r="O34" i="3"/>
  <c r="P34" i="3"/>
  <c r="Q34" i="3"/>
  <c r="B33" i="3"/>
  <c r="C33" i="3"/>
  <c r="D33" i="3" s="1"/>
  <c r="E33" i="3"/>
  <c r="F33" i="3"/>
  <c r="G33" i="3"/>
  <c r="H33" i="3"/>
  <c r="I33" i="3"/>
  <c r="J33" i="3"/>
  <c r="K33" i="3"/>
  <c r="L33" i="3"/>
  <c r="M33" i="3"/>
  <c r="N33" i="3"/>
  <c r="O33" i="3"/>
  <c r="P33" i="3"/>
  <c r="Q33" i="3"/>
  <c r="B32" i="3"/>
  <c r="C32" i="3"/>
  <c r="D32" i="3" s="1"/>
  <c r="E32" i="3"/>
  <c r="F32" i="3"/>
  <c r="G32" i="3"/>
  <c r="H32" i="3"/>
  <c r="I32" i="3"/>
  <c r="J32" i="3"/>
  <c r="K32" i="3"/>
  <c r="L32" i="3"/>
  <c r="M32" i="3"/>
  <c r="N32" i="3"/>
  <c r="O32" i="3"/>
  <c r="P32" i="3"/>
  <c r="Q32" i="3"/>
  <c r="B31" i="3"/>
  <c r="C31" i="3"/>
  <c r="D31" i="3" s="1"/>
  <c r="E31" i="3"/>
  <c r="F31" i="3"/>
  <c r="G31" i="3"/>
  <c r="H31" i="3"/>
  <c r="I31" i="3"/>
  <c r="J31" i="3"/>
  <c r="K31" i="3"/>
  <c r="L31" i="3"/>
  <c r="M31" i="3"/>
  <c r="N31" i="3"/>
  <c r="O31" i="3"/>
  <c r="P31" i="3"/>
  <c r="Q31" i="3"/>
  <c r="B30" i="3"/>
  <c r="C30" i="3"/>
  <c r="D30" i="3" s="1"/>
  <c r="E30" i="3"/>
  <c r="F30" i="3"/>
  <c r="G30" i="3"/>
  <c r="H30" i="3"/>
  <c r="I30" i="3"/>
  <c r="J30" i="3"/>
  <c r="K30" i="3"/>
  <c r="L30" i="3"/>
  <c r="M30" i="3"/>
  <c r="N30" i="3"/>
  <c r="O30" i="3"/>
  <c r="P30" i="3"/>
  <c r="Q30" i="3"/>
  <c r="B29" i="3"/>
  <c r="C29" i="3"/>
  <c r="D29" i="3" s="1"/>
  <c r="E29" i="3"/>
  <c r="F29" i="3"/>
  <c r="G29" i="3"/>
  <c r="H29" i="3"/>
  <c r="I29" i="3"/>
  <c r="J29" i="3"/>
  <c r="K29" i="3"/>
  <c r="L29" i="3"/>
  <c r="M29" i="3"/>
  <c r="N29" i="3"/>
  <c r="O29" i="3"/>
  <c r="P29" i="3"/>
  <c r="Q29" i="3"/>
  <c r="B28" i="3"/>
  <c r="C28" i="3"/>
  <c r="D28" i="3" s="1"/>
  <c r="E28" i="3"/>
  <c r="F28" i="3"/>
  <c r="G28" i="3"/>
  <c r="H28" i="3"/>
  <c r="I28" i="3"/>
  <c r="J28" i="3"/>
  <c r="K28" i="3"/>
  <c r="L28" i="3"/>
  <c r="M28" i="3"/>
  <c r="N28" i="3"/>
  <c r="O28" i="3"/>
  <c r="P28" i="3"/>
  <c r="Q28" i="3"/>
  <c r="G60" i="2"/>
  <c r="S49" i="2"/>
  <c r="Q27" i="3" s="1"/>
  <c r="S50" i="2"/>
  <c r="S51" i="2"/>
  <c r="S52" i="2"/>
  <c r="S53" i="2"/>
  <c r="S54" i="2"/>
  <c r="S55" i="2"/>
  <c r="S56" i="2"/>
  <c r="S57" i="2"/>
  <c r="S58" i="2"/>
  <c r="S59" i="2"/>
  <c r="Q37" i="3" s="1"/>
  <c r="E49" i="2"/>
  <c r="E50" i="2"/>
  <c r="E51" i="2"/>
  <c r="E52" i="2"/>
  <c r="E53" i="2"/>
  <c r="E54" i="2"/>
  <c r="E55" i="2"/>
  <c r="E56" i="2"/>
  <c r="E57" i="2"/>
  <c r="E58" i="2"/>
  <c r="E59" i="2"/>
  <c r="E57" i="3"/>
  <c r="F57" i="3"/>
  <c r="G57" i="3"/>
  <c r="H57" i="3"/>
  <c r="I57" i="3"/>
  <c r="J57" i="3"/>
  <c r="K57" i="3"/>
  <c r="L57" i="3"/>
  <c r="M57" i="3"/>
  <c r="N57" i="3"/>
  <c r="O57" i="3"/>
  <c r="P57" i="3"/>
  <c r="E58" i="3"/>
  <c r="F58" i="3"/>
  <c r="G58" i="3"/>
  <c r="H58" i="3"/>
  <c r="I58" i="3"/>
  <c r="J58" i="3"/>
  <c r="K58" i="3"/>
  <c r="L58" i="3"/>
  <c r="M58" i="3"/>
  <c r="N58" i="3"/>
  <c r="O58" i="3"/>
  <c r="P58" i="3"/>
  <c r="E59" i="3"/>
  <c r="F59" i="3"/>
  <c r="G59" i="3"/>
  <c r="H59" i="3"/>
  <c r="I59" i="3"/>
  <c r="J59" i="3"/>
  <c r="K59" i="3"/>
  <c r="L59" i="3"/>
  <c r="M59" i="3"/>
  <c r="N59" i="3"/>
  <c r="O59" i="3"/>
  <c r="P59" i="3"/>
  <c r="E60" i="3"/>
  <c r="F60" i="3"/>
  <c r="G60" i="3"/>
  <c r="H60" i="3"/>
  <c r="I60" i="3"/>
  <c r="J60" i="3"/>
  <c r="K60" i="3"/>
  <c r="L60" i="3"/>
  <c r="M60" i="3"/>
  <c r="N60" i="3"/>
  <c r="O60" i="3"/>
  <c r="P60" i="3"/>
  <c r="E61" i="3"/>
  <c r="F61" i="3"/>
  <c r="G61" i="3"/>
  <c r="H61" i="3"/>
  <c r="I61" i="3"/>
  <c r="J61" i="3"/>
  <c r="K61" i="3"/>
  <c r="L61" i="3"/>
  <c r="M61" i="3"/>
  <c r="N61" i="3"/>
  <c r="O61" i="3"/>
  <c r="P61" i="3"/>
  <c r="E62" i="3"/>
  <c r="F62" i="3"/>
  <c r="G62" i="3"/>
  <c r="H62" i="3"/>
  <c r="I62" i="3"/>
  <c r="J62" i="3"/>
  <c r="K62" i="3"/>
  <c r="L62" i="3"/>
  <c r="M62" i="3"/>
  <c r="N62" i="3"/>
  <c r="O62" i="3"/>
  <c r="P62" i="3"/>
  <c r="E63" i="3"/>
  <c r="F63" i="3"/>
  <c r="G63" i="3"/>
  <c r="H63" i="3"/>
  <c r="I63" i="3"/>
  <c r="J63" i="3"/>
  <c r="K63" i="3"/>
  <c r="L63" i="3"/>
  <c r="M63" i="3"/>
  <c r="N63" i="3"/>
  <c r="O63" i="3"/>
  <c r="P63" i="3"/>
  <c r="E64" i="3"/>
  <c r="F64" i="3"/>
  <c r="G64" i="3"/>
  <c r="H64" i="3"/>
  <c r="I64" i="3"/>
  <c r="J64" i="3"/>
  <c r="K64" i="3"/>
  <c r="L64" i="3"/>
  <c r="M64" i="3"/>
  <c r="N64" i="3"/>
  <c r="O64" i="3"/>
  <c r="P64" i="3"/>
  <c r="E65" i="3"/>
  <c r="F65" i="3"/>
  <c r="G65" i="3"/>
  <c r="H65" i="3"/>
  <c r="I65" i="3"/>
  <c r="J65" i="3"/>
  <c r="K65" i="3"/>
  <c r="L65" i="3"/>
  <c r="M65" i="3"/>
  <c r="N65" i="3"/>
  <c r="O65" i="3"/>
  <c r="P65" i="3"/>
  <c r="F56" i="3"/>
  <c r="G56" i="3"/>
  <c r="H56" i="3"/>
  <c r="I56" i="3"/>
  <c r="J56" i="3"/>
  <c r="K56" i="3"/>
  <c r="L56" i="3"/>
  <c r="M56" i="3"/>
  <c r="N56" i="3"/>
  <c r="O56" i="3"/>
  <c r="P56" i="3"/>
  <c r="E56" i="3"/>
  <c r="E43" i="3"/>
  <c r="F43" i="3"/>
  <c r="G43" i="3"/>
  <c r="H43" i="3"/>
  <c r="I43" i="3"/>
  <c r="J43" i="3"/>
  <c r="K43" i="3"/>
  <c r="L43" i="3"/>
  <c r="M43" i="3"/>
  <c r="N43" i="3"/>
  <c r="O43" i="3"/>
  <c r="P43" i="3"/>
  <c r="E44" i="3"/>
  <c r="F44" i="3"/>
  <c r="G44" i="3"/>
  <c r="H44" i="3"/>
  <c r="I44" i="3"/>
  <c r="J44" i="3"/>
  <c r="K44" i="3"/>
  <c r="L44" i="3"/>
  <c r="M44" i="3"/>
  <c r="N44" i="3"/>
  <c r="O44" i="3"/>
  <c r="P44" i="3"/>
  <c r="E45" i="3"/>
  <c r="F45" i="3"/>
  <c r="G45" i="3"/>
  <c r="H45" i="3"/>
  <c r="I45" i="3"/>
  <c r="J45" i="3"/>
  <c r="K45" i="3"/>
  <c r="L45" i="3"/>
  <c r="M45" i="3"/>
  <c r="N45" i="3"/>
  <c r="O45" i="3"/>
  <c r="P45" i="3"/>
  <c r="E46" i="3"/>
  <c r="F46" i="3"/>
  <c r="G46" i="3"/>
  <c r="H46" i="3"/>
  <c r="I46" i="3"/>
  <c r="J46" i="3"/>
  <c r="K46" i="3"/>
  <c r="L46" i="3"/>
  <c r="M46" i="3"/>
  <c r="N46" i="3"/>
  <c r="O46" i="3"/>
  <c r="P46" i="3"/>
  <c r="E47" i="3"/>
  <c r="F47" i="3"/>
  <c r="G47" i="3"/>
  <c r="H47" i="3"/>
  <c r="I47" i="3"/>
  <c r="J47" i="3"/>
  <c r="K47" i="3"/>
  <c r="L47" i="3"/>
  <c r="M47" i="3"/>
  <c r="N47" i="3"/>
  <c r="O47" i="3"/>
  <c r="P47" i="3"/>
  <c r="E48" i="3"/>
  <c r="F48" i="3"/>
  <c r="G48" i="3"/>
  <c r="H48" i="3"/>
  <c r="I48" i="3"/>
  <c r="J48" i="3"/>
  <c r="K48" i="3"/>
  <c r="L48" i="3"/>
  <c r="M48" i="3"/>
  <c r="N48" i="3"/>
  <c r="O48" i="3"/>
  <c r="P48" i="3"/>
  <c r="E49" i="3"/>
  <c r="F49" i="3"/>
  <c r="G49" i="3"/>
  <c r="H49" i="3"/>
  <c r="I49" i="3"/>
  <c r="J49" i="3"/>
  <c r="K49" i="3"/>
  <c r="L49" i="3"/>
  <c r="M49" i="3"/>
  <c r="N49" i="3"/>
  <c r="O49" i="3"/>
  <c r="P49" i="3"/>
  <c r="E50" i="3"/>
  <c r="F50" i="3"/>
  <c r="G50" i="3"/>
  <c r="H50" i="3"/>
  <c r="I50" i="3"/>
  <c r="J50" i="3"/>
  <c r="K50" i="3"/>
  <c r="L50" i="3"/>
  <c r="M50" i="3"/>
  <c r="N50" i="3"/>
  <c r="O50" i="3"/>
  <c r="P50" i="3"/>
  <c r="E51" i="3"/>
  <c r="F51" i="3"/>
  <c r="G51" i="3"/>
  <c r="H51" i="3"/>
  <c r="I51" i="3"/>
  <c r="J51" i="3"/>
  <c r="K51" i="3"/>
  <c r="L51" i="3"/>
  <c r="M51" i="3"/>
  <c r="N51" i="3"/>
  <c r="O51" i="3"/>
  <c r="P51" i="3"/>
  <c r="F42" i="3"/>
  <c r="G42" i="3"/>
  <c r="H42" i="3"/>
  <c r="I42" i="3"/>
  <c r="J42" i="3"/>
  <c r="K42" i="3"/>
  <c r="L42" i="3"/>
  <c r="M42" i="3"/>
  <c r="N42" i="3"/>
  <c r="O42" i="3"/>
  <c r="P42" i="3"/>
  <c r="E42" i="3"/>
  <c r="E19" i="3"/>
  <c r="F19" i="3"/>
  <c r="G19" i="3"/>
  <c r="H19" i="3"/>
  <c r="I19" i="3"/>
  <c r="J19" i="3"/>
  <c r="K19" i="3"/>
  <c r="L19" i="3"/>
  <c r="M19" i="3"/>
  <c r="N19" i="3"/>
  <c r="O19" i="3"/>
  <c r="P19" i="3"/>
  <c r="E20" i="3"/>
  <c r="F20" i="3"/>
  <c r="G20" i="3"/>
  <c r="H20" i="3"/>
  <c r="I20" i="3"/>
  <c r="J20" i="3"/>
  <c r="K20" i="3"/>
  <c r="L20" i="3"/>
  <c r="M20" i="3"/>
  <c r="N20" i="3"/>
  <c r="O20" i="3"/>
  <c r="P20" i="3"/>
  <c r="E21" i="3"/>
  <c r="F21" i="3"/>
  <c r="G21" i="3"/>
  <c r="H21" i="3"/>
  <c r="I21" i="3"/>
  <c r="J21" i="3"/>
  <c r="K21" i="3"/>
  <c r="L21" i="3"/>
  <c r="M21" i="3"/>
  <c r="N21" i="3"/>
  <c r="O21" i="3"/>
  <c r="P21" i="3"/>
  <c r="E22" i="3"/>
  <c r="F22" i="3"/>
  <c r="G22" i="3"/>
  <c r="H22" i="3"/>
  <c r="I22" i="3"/>
  <c r="J22" i="3"/>
  <c r="K22" i="3"/>
  <c r="L22" i="3"/>
  <c r="M22" i="3"/>
  <c r="N22" i="3"/>
  <c r="O22" i="3"/>
  <c r="P22" i="3"/>
  <c r="E23" i="3"/>
  <c r="F23" i="3"/>
  <c r="G23" i="3"/>
  <c r="H23" i="3"/>
  <c r="I23" i="3"/>
  <c r="J23" i="3"/>
  <c r="K23" i="3"/>
  <c r="L23" i="3"/>
  <c r="M23" i="3"/>
  <c r="N23" i="3"/>
  <c r="O23" i="3"/>
  <c r="P23" i="3"/>
  <c r="E24" i="3"/>
  <c r="F24" i="3"/>
  <c r="G24" i="3"/>
  <c r="H24" i="3"/>
  <c r="I24" i="3"/>
  <c r="J24" i="3"/>
  <c r="K24" i="3"/>
  <c r="L24" i="3"/>
  <c r="M24" i="3"/>
  <c r="N24" i="3"/>
  <c r="O24" i="3"/>
  <c r="P24" i="3"/>
  <c r="E25" i="3"/>
  <c r="F25" i="3"/>
  <c r="G25" i="3"/>
  <c r="H25" i="3"/>
  <c r="I25" i="3"/>
  <c r="J25" i="3"/>
  <c r="K25" i="3"/>
  <c r="L25" i="3"/>
  <c r="M25" i="3"/>
  <c r="N25" i="3"/>
  <c r="O25" i="3"/>
  <c r="P25" i="3"/>
  <c r="E26" i="3"/>
  <c r="F26" i="3"/>
  <c r="G26" i="3"/>
  <c r="H26" i="3"/>
  <c r="I26" i="3"/>
  <c r="J26" i="3"/>
  <c r="K26" i="3"/>
  <c r="L26" i="3"/>
  <c r="M26" i="3"/>
  <c r="N26" i="3"/>
  <c r="O26" i="3"/>
  <c r="P26" i="3"/>
  <c r="F18" i="3"/>
  <c r="G18" i="3"/>
  <c r="H18" i="3"/>
  <c r="I18" i="3"/>
  <c r="J18" i="3"/>
  <c r="K18" i="3"/>
  <c r="L18" i="3"/>
  <c r="M18" i="3"/>
  <c r="N18" i="3"/>
  <c r="O18" i="3"/>
  <c r="P18" i="3"/>
  <c r="E18" i="3"/>
  <c r="E5" i="3"/>
  <c r="F5" i="3"/>
  <c r="G5" i="3"/>
  <c r="H5" i="3"/>
  <c r="I5" i="3"/>
  <c r="J5" i="3"/>
  <c r="K5" i="3"/>
  <c r="L5" i="3"/>
  <c r="M5" i="3"/>
  <c r="N5" i="3"/>
  <c r="O5" i="3"/>
  <c r="P5" i="3"/>
  <c r="E6" i="3"/>
  <c r="F6" i="3"/>
  <c r="G6" i="3"/>
  <c r="H6" i="3"/>
  <c r="I6" i="3"/>
  <c r="J6" i="3"/>
  <c r="K6" i="3"/>
  <c r="L6" i="3"/>
  <c r="M6" i="3"/>
  <c r="N6" i="3"/>
  <c r="O6" i="3"/>
  <c r="P6" i="3"/>
  <c r="E7" i="3"/>
  <c r="F7" i="3"/>
  <c r="G7" i="3"/>
  <c r="H7" i="3"/>
  <c r="I7" i="3"/>
  <c r="J7" i="3"/>
  <c r="K7" i="3"/>
  <c r="L7" i="3"/>
  <c r="M7" i="3"/>
  <c r="N7" i="3"/>
  <c r="O7" i="3"/>
  <c r="P7" i="3"/>
  <c r="E8" i="3"/>
  <c r="F8" i="3"/>
  <c r="G8" i="3"/>
  <c r="H8" i="3"/>
  <c r="I8" i="3"/>
  <c r="J8" i="3"/>
  <c r="K8" i="3"/>
  <c r="L8" i="3"/>
  <c r="M8" i="3"/>
  <c r="N8" i="3"/>
  <c r="O8" i="3"/>
  <c r="P8" i="3"/>
  <c r="E9" i="3"/>
  <c r="F9" i="3"/>
  <c r="G9" i="3"/>
  <c r="H9" i="3"/>
  <c r="I9" i="3"/>
  <c r="J9" i="3"/>
  <c r="K9" i="3"/>
  <c r="L9" i="3"/>
  <c r="M9" i="3"/>
  <c r="N9" i="3"/>
  <c r="O9" i="3"/>
  <c r="P9" i="3"/>
  <c r="E10" i="3"/>
  <c r="F10" i="3"/>
  <c r="G10" i="3"/>
  <c r="H10" i="3"/>
  <c r="I10" i="3"/>
  <c r="J10" i="3"/>
  <c r="K10" i="3"/>
  <c r="L10" i="3"/>
  <c r="M10" i="3"/>
  <c r="N10" i="3"/>
  <c r="O10" i="3"/>
  <c r="P10" i="3"/>
  <c r="E11" i="3"/>
  <c r="F11" i="3"/>
  <c r="G11" i="3"/>
  <c r="H11" i="3"/>
  <c r="I11" i="3"/>
  <c r="J11" i="3"/>
  <c r="K11" i="3"/>
  <c r="L11" i="3"/>
  <c r="M11" i="3"/>
  <c r="N11" i="3"/>
  <c r="O11" i="3"/>
  <c r="P11" i="3"/>
  <c r="E12" i="3"/>
  <c r="F12" i="3"/>
  <c r="G12" i="3"/>
  <c r="H12" i="3"/>
  <c r="I12" i="3"/>
  <c r="J12" i="3"/>
  <c r="K12" i="3"/>
  <c r="L12" i="3"/>
  <c r="M12" i="3"/>
  <c r="N12" i="3"/>
  <c r="O12" i="3"/>
  <c r="P12" i="3"/>
  <c r="E13" i="3"/>
  <c r="F13" i="3"/>
  <c r="G13" i="3"/>
  <c r="H13" i="3"/>
  <c r="I13" i="3"/>
  <c r="J13" i="3"/>
  <c r="K13" i="3"/>
  <c r="L13" i="3"/>
  <c r="M13" i="3"/>
  <c r="N13" i="3"/>
  <c r="O13" i="3"/>
  <c r="P13" i="3"/>
  <c r="F4" i="3"/>
  <c r="G4" i="3"/>
  <c r="H4" i="3"/>
  <c r="I4" i="3"/>
  <c r="J4" i="3"/>
  <c r="K4" i="3"/>
  <c r="L4" i="3"/>
  <c r="M4" i="3"/>
  <c r="N4" i="3"/>
  <c r="O4" i="3"/>
  <c r="P4" i="3"/>
  <c r="E4" i="3"/>
  <c r="B43" i="3"/>
  <c r="C65" i="3"/>
  <c r="D65" i="3" s="1"/>
  <c r="B65" i="3"/>
  <c r="C64" i="3"/>
  <c r="D64" i="3" s="1"/>
  <c r="B64" i="3"/>
  <c r="C63" i="3"/>
  <c r="D63" i="3" s="1"/>
  <c r="B63" i="3"/>
  <c r="C62" i="3"/>
  <c r="D62" i="3" s="1"/>
  <c r="B62" i="3"/>
  <c r="C61" i="3"/>
  <c r="D61" i="3" s="1"/>
  <c r="B61" i="3"/>
  <c r="C60" i="3"/>
  <c r="D60" i="3" s="1"/>
  <c r="B60" i="3"/>
  <c r="C59" i="3"/>
  <c r="D59" i="3" s="1"/>
  <c r="B59" i="3"/>
  <c r="C58" i="3"/>
  <c r="D58" i="3" s="1"/>
  <c r="B58" i="3"/>
  <c r="C57" i="3"/>
  <c r="D57" i="3" s="1"/>
  <c r="B57" i="3"/>
  <c r="C56" i="3"/>
  <c r="D56" i="3" s="1"/>
  <c r="B56" i="3"/>
  <c r="C51" i="3"/>
  <c r="D51" i="3" s="1"/>
  <c r="B51" i="3"/>
  <c r="C50" i="3"/>
  <c r="D50" i="3" s="1"/>
  <c r="B50" i="3"/>
  <c r="C49" i="3"/>
  <c r="D49" i="3" s="1"/>
  <c r="B49" i="3"/>
  <c r="C48" i="3"/>
  <c r="D48" i="3" s="1"/>
  <c r="B48" i="3"/>
  <c r="C47" i="3"/>
  <c r="D47" i="3" s="1"/>
  <c r="B47" i="3"/>
  <c r="C46" i="3"/>
  <c r="D46" i="3" s="1"/>
  <c r="B46" i="3"/>
  <c r="C45" i="3"/>
  <c r="D45" i="3" s="1"/>
  <c r="B45" i="3"/>
  <c r="C44" i="3"/>
  <c r="D44" i="3" s="1"/>
  <c r="B44" i="3"/>
  <c r="C43" i="3"/>
  <c r="D43" i="3" s="1"/>
  <c r="C42" i="3"/>
  <c r="D42" i="3" s="1"/>
  <c r="B42" i="3"/>
  <c r="C27" i="3"/>
  <c r="D27" i="3" s="1"/>
  <c r="B27" i="3"/>
  <c r="C26" i="3"/>
  <c r="D26" i="3" s="1"/>
  <c r="B26" i="3"/>
  <c r="C25" i="3"/>
  <c r="D25" i="3" s="1"/>
  <c r="B25" i="3"/>
  <c r="C24" i="3"/>
  <c r="D24" i="3" s="1"/>
  <c r="B24" i="3"/>
  <c r="C23" i="3"/>
  <c r="D23" i="3" s="1"/>
  <c r="B23" i="3"/>
  <c r="C22" i="3"/>
  <c r="D22" i="3" s="1"/>
  <c r="B22" i="3"/>
  <c r="C21" i="3"/>
  <c r="D21" i="3" s="1"/>
  <c r="B21" i="3"/>
  <c r="C20" i="3"/>
  <c r="D20" i="3" s="1"/>
  <c r="B20" i="3"/>
  <c r="C19" i="3"/>
  <c r="D19" i="3" s="1"/>
  <c r="B19" i="3"/>
  <c r="C18" i="3"/>
  <c r="D18" i="3" s="1"/>
  <c r="B18" i="3"/>
  <c r="C13" i="3"/>
  <c r="D13" i="3" s="1"/>
  <c r="B13" i="3"/>
  <c r="C12" i="3"/>
  <c r="D12" i="3" s="1"/>
  <c r="B12" i="3"/>
  <c r="C11" i="3"/>
  <c r="D11" i="3" s="1"/>
  <c r="B11" i="3"/>
  <c r="C10" i="3"/>
  <c r="D10" i="3" s="1"/>
  <c r="B10" i="3"/>
  <c r="C9" i="3"/>
  <c r="D9" i="3" s="1"/>
  <c r="B9" i="3"/>
  <c r="C8" i="3"/>
  <c r="D8" i="3" s="1"/>
  <c r="B8" i="3"/>
  <c r="C7" i="3"/>
  <c r="D7" i="3" s="1"/>
  <c r="B7" i="3"/>
  <c r="C6" i="3"/>
  <c r="D6" i="3" s="1"/>
  <c r="B6" i="3"/>
  <c r="C5" i="3"/>
  <c r="D5" i="3" s="1"/>
  <c r="B5" i="3"/>
  <c r="C4" i="3"/>
  <c r="D4" i="3" s="1"/>
  <c r="B4" i="3"/>
  <c r="R104" i="2"/>
  <c r="Q104" i="2"/>
  <c r="P104" i="2"/>
  <c r="O104" i="2"/>
  <c r="N104" i="2"/>
  <c r="M104" i="2"/>
  <c r="L104" i="2"/>
  <c r="K104" i="2"/>
  <c r="J104" i="2"/>
  <c r="I104" i="2"/>
  <c r="H104" i="2"/>
  <c r="G104" i="2"/>
  <c r="S103" i="2"/>
  <c r="Q65" i="3" s="1"/>
  <c r="E103" i="2"/>
  <c r="S102" i="2"/>
  <c r="Q64" i="3" s="1"/>
  <c r="E102" i="2"/>
  <c r="S101" i="2"/>
  <c r="Q63" i="3" s="1"/>
  <c r="E101" i="2"/>
  <c r="S100" i="2"/>
  <c r="Q62" i="3" s="1"/>
  <c r="E100" i="2"/>
  <c r="S99" i="2"/>
  <c r="Q61" i="3" s="1"/>
  <c r="E99" i="2"/>
  <c r="S98" i="2"/>
  <c r="Q60" i="3" s="1"/>
  <c r="E98" i="2"/>
  <c r="S97" i="2"/>
  <c r="Q59" i="3" s="1"/>
  <c r="E97" i="2"/>
  <c r="S96" i="2"/>
  <c r="Q58" i="3" s="1"/>
  <c r="E96" i="2"/>
  <c r="S95" i="2"/>
  <c r="Q57" i="3" s="1"/>
  <c r="E95" i="2"/>
  <c r="S94" i="2"/>
  <c r="Q56" i="3" s="1"/>
  <c r="E94" i="2"/>
  <c r="R82" i="2"/>
  <c r="Q82" i="2"/>
  <c r="P82" i="2"/>
  <c r="O82" i="2"/>
  <c r="N82" i="2"/>
  <c r="M82" i="2"/>
  <c r="L82" i="2"/>
  <c r="K82" i="2"/>
  <c r="J82" i="2"/>
  <c r="I82" i="2"/>
  <c r="H82" i="2"/>
  <c r="G82" i="2"/>
  <c r="S81" i="2"/>
  <c r="Q51" i="3" s="1"/>
  <c r="E81" i="2"/>
  <c r="S80" i="2"/>
  <c r="Q50" i="3" s="1"/>
  <c r="E80" i="2"/>
  <c r="S79" i="2"/>
  <c r="Q49" i="3" s="1"/>
  <c r="E79" i="2"/>
  <c r="S78" i="2"/>
  <c r="Q48" i="3" s="1"/>
  <c r="E78" i="2"/>
  <c r="S77" i="2"/>
  <c r="Q47" i="3" s="1"/>
  <c r="E77" i="2"/>
  <c r="S76" i="2"/>
  <c r="Q46" i="3" s="1"/>
  <c r="E76" i="2"/>
  <c r="S75" i="2"/>
  <c r="Q45" i="3" s="1"/>
  <c r="E75" i="2"/>
  <c r="S74" i="2"/>
  <c r="Q44" i="3" s="1"/>
  <c r="E74" i="2"/>
  <c r="S73" i="2"/>
  <c r="Q43" i="3" s="1"/>
  <c r="E73" i="2"/>
  <c r="S72" i="2"/>
  <c r="Q42" i="3" s="1"/>
  <c r="E72" i="2"/>
  <c r="Q60" i="2"/>
  <c r="P60" i="2"/>
  <c r="O60" i="2"/>
  <c r="N60" i="2"/>
  <c r="M60" i="2"/>
  <c r="L60" i="2"/>
  <c r="K60" i="2"/>
  <c r="J60" i="2"/>
  <c r="I60" i="2"/>
  <c r="H60" i="2"/>
  <c r="S48" i="2"/>
  <c r="Q26" i="3" s="1"/>
  <c r="E48" i="2"/>
  <c r="S47" i="2"/>
  <c r="Q25" i="3" s="1"/>
  <c r="E47" i="2"/>
  <c r="S46" i="2"/>
  <c r="Q24" i="3" s="1"/>
  <c r="E46" i="2"/>
  <c r="S45" i="2"/>
  <c r="Q23" i="3" s="1"/>
  <c r="E45" i="2"/>
  <c r="S44" i="2"/>
  <c r="Q22" i="3" s="1"/>
  <c r="E44" i="2"/>
  <c r="S43" i="2"/>
  <c r="Q21" i="3" s="1"/>
  <c r="E43" i="2"/>
  <c r="S42" i="2"/>
  <c r="Q20" i="3" s="1"/>
  <c r="E42" i="2"/>
  <c r="S41" i="2"/>
  <c r="Q19" i="3" s="1"/>
  <c r="E41" i="2"/>
  <c r="S40" i="2"/>
  <c r="Q18" i="3" s="1"/>
  <c r="E40" i="2"/>
  <c r="R28" i="2"/>
  <c r="Q28" i="2"/>
  <c r="P28" i="2"/>
  <c r="O28" i="2"/>
  <c r="N28" i="2"/>
  <c r="M28" i="2"/>
  <c r="L28" i="2"/>
  <c r="K28" i="2"/>
  <c r="J28" i="2"/>
  <c r="I28" i="2"/>
  <c r="H28" i="2"/>
  <c r="G28" i="2"/>
  <c r="S27" i="2"/>
  <c r="Q13" i="3" s="1"/>
  <c r="E27" i="2"/>
  <c r="S26" i="2"/>
  <c r="Q12" i="3" s="1"/>
  <c r="E26" i="2"/>
  <c r="S25" i="2"/>
  <c r="Q11" i="3" s="1"/>
  <c r="E25" i="2"/>
  <c r="S24" i="2"/>
  <c r="Q10" i="3" s="1"/>
  <c r="E24" i="2"/>
  <c r="S23" i="2"/>
  <c r="Q9" i="3" s="1"/>
  <c r="E23" i="2"/>
  <c r="S22" i="2"/>
  <c r="Q8" i="3" s="1"/>
  <c r="E22" i="2"/>
  <c r="S21" i="2"/>
  <c r="Q7" i="3" s="1"/>
  <c r="E21" i="2"/>
  <c r="S20" i="2"/>
  <c r="Q6" i="3" s="1"/>
  <c r="E20" i="2"/>
  <c r="S19" i="2"/>
  <c r="Q5" i="3" s="1"/>
  <c r="E19" i="2"/>
  <c r="S18" i="2"/>
  <c r="Q4" i="3" s="1"/>
  <c r="E18" i="2"/>
  <c r="S6" i="2"/>
  <c r="AI18" i="3"/>
  <c r="AO8" i="3"/>
  <c r="AP3" i="3"/>
  <c r="AG18" i="3"/>
  <c r="AJ18" i="3"/>
  <c r="AG25" i="3"/>
  <c r="AO3" i="3"/>
  <c r="AR8" i="3"/>
  <c r="AR9" i="3"/>
  <c r="AH25" i="3"/>
  <c r="AR4" i="3"/>
  <c r="AJ25" i="3"/>
  <c r="AI25" i="3"/>
  <c r="AP8" i="3"/>
  <c r="AR3" i="3"/>
  <c r="AH18" i="3"/>
  <c r="AJ4" i="3"/>
  <c r="AH9" i="3"/>
  <c r="AH4" i="3"/>
  <c r="AJ15" i="3"/>
  <c r="AG4" i="3"/>
  <c r="AI15" i="3"/>
  <c r="AI9" i="3"/>
  <c r="AG9" i="3"/>
  <c r="AI4" i="3"/>
  <c r="AG15" i="3"/>
  <c r="AH15" i="3"/>
  <c r="AJ9" i="3"/>
  <c r="AO38" i="3" a="1"/>
  <c r="AG21" i="3" l="1"/>
  <c r="AH21" i="3"/>
  <c r="AI21" i="3"/>
  <c r="AJ21" i="3"/>
  <c r="AO38" i="3"/>
  <c r="T18" i="3"/>
  <c r="T19" i="3"/>
  <c r="L7" i="2"/>
  <c r="J7" i="2"/>
  <c r="O7" i="2"/>
  <c r="H7" i="2"/>
  <c r="G7" i="2"/>
  <c r="Q7" i="2"/>
  <c r="P7" i="2"/>
  <c r="I6" i="8"/>
  <c r="N6" i="8"/>
  <c r="S6" i="8"/>
  <c r="X6" i="8"/>
  <c r="T42" i="3"/>
  <c r="T4" i="3"/>
  <c r="T56" i="3"/>
  <c r="I7" i="2"/>
  <c r="S104" i="2"/>
  <c r="K7" i="2"/>
  <c r="S82" i="2"/>
  <c r="N7" i="2"/>
  <c r="R7" i="2"/>
  <c r="M7" i="2"/>
  <c r="S28" i="2"/>
  <c r="T43" i="3"/>
  <c r="T5" i="3"/>
  <c r="T57" i="3"/>
  <c r="S60" i="2"/>
  <c r="V7" i="2" l="1"/>
  <c r="V6" i="2" s="1"/>
  <c r="AB7" i="2"/>
  <c r="AB6" i="2" s="1"/>
  <c r="S7" i="2"/>
  <c r="Y7" i="2"/>
  <c r="Y6"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052AF8-B6FC-4E45-B53E-552E59A9A7CF}" name="Connection" type="104" refreshedVersion="0" background="1">
    <extLst>
      <ext xmlns:x15="http://schemas.microsoft.com/office/spreadsheetml/2010/11/main" uri="{DE250136-89BD-433C-8126-D09CA5730AF9}">
        <x15:connection id="Calendar"/>
      </ext>
    </extLst>
  </connection>
  <connection id="2" xr16:uid="{E79ACFA8-1920-4B96-BB02-F15F335A857C}" name="Query - Category_Sub" description="Connection to the 'Category_Sub' query in the workbook." type="100" refreshedVersion="8" minRefreshableVersion="5">
    <extLst>
      <ext xmlns:x15="http://schemas.microsoft.com/office/spreadsheetml/2010/11/main" uri="{DE250136-89BD-433C-8126-D09CA5730AF9}">
        <x15:connection id="26cb1880-ce53-436a-8f0d-29c81d801db5"/>
      </ext>
    </extLst>
  </connection>
  <connection id="3" xr16:uid="{27AC0CF1-9BF4-48A5-9227-B3E802E5DD2F}" name="Query - Month_Sub" description="Connection to the 'Month_Sub' query in the workbook." type="100" refreshedVersion="8" minRefreshableVersion="5">
    <extLst>
      <ext xmlns:x15="http://schemas.microsoft.com/office/spreadsheetml/2010/11/main" uri="{DE250136-89BD-433C-8126-D09CA5730AF9}">
        <x15:connection id="316459a9-1718-4738-92da-95cc1bd9f19c"/>
      </ext>
    </extLst>
  </connection>
  <connection id="4" xr16:uid="{1F687797-AC54-4615-8FB0-499FBC3D14F5}" keepAlive="1" name="Query - Piv_Debt" description="Connection to the 'Piv_Debt' query in the workbook." type="5" refreshedVersion="0" background="1">
    <dbPr connection="Provider=Microsoft.Mashup.OleDb.1;Data Source=$Workbook$;Location=Piv_Debt;Extended Properties=&quot;&quot;" command="SELECT * FROM [Piv_Debt]"/>
  </connection>
  <connection id="5" xr16:uid="{9F6D78C0-DBBC-4830-8C65-CC46A386DC01}" keepAlive="1" name="Query - Piv_Expenses" description="Connection to the 'Piv_Expenses' query in the workbook." type="5" refreshedVersion="0" background="1">
    <dbPr connection="Provider=Microsoft.Mashup.OleDb.1;Data Source=$Workbook$;Location=Piv_Expenses;Extended Properties=&quot;&quot;" command="SELECT * FROM [Piv_Expenses]"/>
  </connection>
  <connection id="6" xr16:uid="{423DA029-AF29-4248-83DA-182E77A90CF0}" keepAlive="1" name="Query - Piv_Income" description="Connection to the 'Piv_Income' query in the workbook." type="5" refreshedVersion="0" background="1">
    <dbPr connection="Provider=Microsoft.Mashup.OleDb.1;Data Source=$Workbook$;Location=Piv_Income;Extended Properties=&quot;&quot;" command="SELECT * FROM [Piv_Income]"/>
  </connection>
  <connection id="7" xr16:uid="{473ED45A-6F29-4C29-9FB7-5E6018116D5E}" name="Query - Piv_Merge" description="Connection to the 'Piv_Merge' query in the workbook." type="100" refreshedVersion="8" minRefreshableVersion="5">
    <extLst>
      <ext xmlns:x15="http://schemas.microsoft.com/office/spreadsheetml/2010/11/main" uri="{DE250136-89BD-433C-8126-D09CA5730AF9}">
        <x15:connection id="c0eb0c50-f599-4a33-b627-32f2fe223cf6"/>
      </ext>
    </extLst>
  </connection>
  <connection id="8" xr16:uid="{B391961F-2288-44DA-8741-CC7D8E62FF33}" keepAlive="1" name="Query - Piv_Sav_Inv" description="Connection to the 'Piv_Sav_Inv' query in the workbook." type="5" refreshedVersion="0" background="1">
    <dbPr connection="Provider=Microsoft.Mashup.OleDb.1;Data Source=$Workbook$;Location=Piv_Sav_Inv;Extended Properties=&quot;&quot;" command="SELECT * FROM [Piv_Sav_Inv]"/>
  </connection>
  <connection id="9" xr16:uid="{D14050A3-B7E9-423E-9B74-CDC9A28B6D8F}" name="Query - Transaction_tbl" description="Connection to the 'Transaction_tbl' query in the workbook." type="100" refreshedVersion="8" minRefreshableVersion="5">
    <extLst>
      <ext xmlns:x15="http://schemas.microsoft.com/office/spreadsheetml/2010/11/main" uri="{DE250136-89BD-433C-8126-D09CA5730AF9}">
        <x15:connection id="c06a4c7b-e22e-4775-9c92-12f4bd62a874"/>
      </ext>
    </extLst>
  </connection>
  <connection id="10" xr16:uid="{1D967FEC-55FB-4624-A384-D58BEBD6C66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<sst xmlns="http://schemas.openxmlformats.org/spreadsheetml/2006/main" count="582" uniqueCount="186">
  <si>
    <t>Income Source</t>
  </si>
  <si>
    <t>Active?</t>
  </si>
  <si>
    <t>Expense</t>
  </si>
  <si>
    <t>Need?</t>
  </si>
  <si>
    <t>Student Job</t>
  </si>
  <si>
    <t>Rent</t>
  </si>
  <si>
    <t>Internship</t>
  </si>
  <si>
    <t>Utilities &amp; Internet</t>
  </si>
  <si>
    <t>Family Support</t>
  </si>
  <si>
    <t>Groceries</t>
  </si>
  <si>
    <t>CAF</t>
  </si>
  <si>
    <t>Transport</t>
  </si>
  <si>
    <t>Side Gigs</t>
  </si>
  <si>
    <t>Health &amp; Pharmacy</t>
  </si>
  <si>
    <t>Eating Out</t>
  </si>
  <si>
    <t>Subscriptions</t>
  </si>
  <si>
    <t>Shopping</t>
  </si>
  <si>
    <t>Candy</t>
  </si>
  <si>
    <t>Leisure</t>
  </si>
  <si>
    <t>Gym</t>
  </si>
  <si>
    <t>€</t>
  </si>
  <si>
    <t>Debt</t>
  </si>
  <si>
    <t>High Priority?</t>
  </si>
  <si>
    <t>Savings</t>
  </si>
  <si>
    <t>Long-term?</t>
  </si>
  <si>
    <t>Student Loan</t>
  </si>
  <si>
    <t>Emergency Fund</t>
  </si>
  <si>
    <t>Credit Card</t>
  </si>
  <si>
    <t>Travel Fund</t>
  </si>
  <si>
    <t>Investing</t>
  </si>
  <si>
    <t>Tuition</t>
  </si>
  <si>
    <t>Active</t>
  </si>
  <si>
    <t>Passive</t>
  </si>
  <si>
    <t>Type</t>
  </si>
  <si>
    <t>Amount</t>
  </si>
  <si>
    <t>Subcategory</t>
  </si>
  <si>
    <t>Type?</t>
  </si>
  <si>
    <t>Choice</t>
  </si>
  <si>
    <t>Jan</t>
  </si>
  <si>
    <t>Feb</t>
  </si>
  <si>
    <t>Mar</t>
  </si>
  <si>
    <t>Apr</t>
  </si>
  <si>
    <t>May</t>
  </si>
  <si>
    <t>Jun</t>
  </si>
  <si>
    <t>Jul</t>
  </si>
  <si>
    <t>Aug</t>
  </si>
  <si>
    <t>Sept</t>
  </si>
  <si>
    <t>Oct</t>
  </si>
  <si>
    <t>Nov</t>
  </si>
  <si>
    <t>Dec</t>
  </si>
  <si>
    <t>Total Budget</t>
  </si>
  <si>
    <t>Total Actuals - Income</t>
  </si>
  <si>
    <t>Total Actuals - Expenses</t>
  </si>
  <si>
    <t>Total Actuals - Debt</t>
  </si>
  <si>
    <t>Total Actuals - Sav &amp; Inv</t>
  </si>
  <si>
    <t>Actuals-Income</t>
  </si>
  <si>
    <t>Actuals-Expenses</t>
  </si>
  <si>
    <t>Actuals-Debt</t>
  </si>
  <si>
    <t>Actuals-Savings</t>
  </si>
  <si>
    <t>Ratio Budget:Income</t>
  </si>
  <si>
    <t>NJ</t>
  </si>
  <si>
    <t>Need</t>
  </si>
  <si>
    <t>Want</t>
  </si>
  <si>
    <t>Total Budget - Income</t>
  </si>
  <si>
    <t>Total Budget - Expenses</t>
  </si>
  <si>
    <t>Total Budget - Debt</t>
  </si>
  <si>
    <t>Total Budget - Sav &amp; Inv</t>
  </si>
  <si>
    <t>Budget-Income</t>
  </si>
  <si>
    <t>Budget-Expenses</t>
  </si>
  <si>
    <t>Budget-Debt</t>
  </si>
  <si>
    <t>Budget-Savings</t>
  </si>
  <si>
    <t>High Priority</t>
  </si>
  <si>
    <t>Low Priority</t>
  </si>
  <si>
    <t>Difference - Income</t>
  </si>
  <si>
    <t>Difference - Expense</t>
  </si>
  <si>
    <t>Difference - Debt</t>
  </si>
  <si>
    <t>Difference - Sav &amp; Inv</t>
  </si>
  <si>
    <t>Diff-Income</t>
  </si>
  <si>
    <t>Diff-Expenses</t>
  </si>
  <si>
    <t>Diff-Debt</t>
  </si>
  <si>
    <t>Diff-Savings</t>
  </si>
  <si>
    <t>Comment-Income</t>
  </si>
  <si>
    <t>Comment-Expenses</t>
  </si>
  <si>
    <t>Comment-Debt</t>
  </si>
  <si>
    <t>Comment-Savings</t>
  </si>
  <si>
    <t>A/B_Income</t>
  </si>
  <si>
    <t>A/B_Expenses</t>
  </si>
  <si>
    <t>A/B_Debt</t>
  </si>
  <si>
    <t>A/B_Sav &amp; Inv</t>
  </si>
  <si>
    <t>A/B_Savings</t>
  </si>
  <si>
    <t>Slicer Selection</t>
  </si>
  <si>
    <t>Row Labels</t>
  </si>
  <si>
    <t>Grand Total</t>
  </si>
  <si>
    <t xml:space="preserve">Type </t>
  </si>
  <si>
    <t>SlicerSelection</t>
  </si>
  <si>
    <t>Long Term</t>
  </si>
  <si>
    <t>Annual</t>
  </si>
  <si>
    <t>Short Term</t>
  </si>
  <si>
    <t>Month</t>
  </si>
  <si>
    <t>Month Number</t>
  </si>
  <si>
    <t>Sep</t>
  </si>
  <si>
    <t>Expenses as % of Income</t>
  </si>
  <si>
    <t>Debt as % of Income</t>
  </si>
  <si>
    <t>Savings as % of Income</t>
  </si>
  <si>
    <t>Annual budget</t>
  </si>
  <si>
    <t>Total</t>
  </si>
  <si>
    <t>Left to Allocate:</t>
  </si>
  <si>
    <t xml:space="preserve"> </t>
  </si>
  <si>
    <t xml:space="preserve">Income Goals Overview  </t>
  </si>
  <si>
    <t>Income Goals Breakdown</t>
  </si>
  <si>
    <t>Yearly Income Budget</t>
  </si>
  <si>
    <t>Total Income</t>
  </si>
  <si>
    <t>Expenses</t>
  </si>
  <si>
    <t>Expense Goals Overview</t>
  </si>
  <si>
    <t>Yearly Expense Budget</t>
  </si>
  <si>
    <t>Expense Goals Breakdown</t>
  </si>
  <si>
    <t>Total Expenses</t>
  </si>
  <si>
    <t>Debt Goals Overview</t>
  </si>
  <si>
    <t>Debt Goals Breakdown</t>
  </si>
  <si>
    <t>Yearly Debt Budget</t>
  </si>
  <si>
    <t>Total Debt Repaid</t>
  </si>
  <si>
    <t>Savings &amp; Investments</t>
  </si>
  <si>
    <t>Savings Goal Overview</t>
  </si>
  <si>
    <t>Savings Goals Breakdown</t>
  </si>
  <si>
    <t>Yearly Savings Budget</t>
  </si>
  <si>
    <t>Total Savings &amp; Investments</t>
  </si>
  <si>
    <t>Date</t>
  </si>
  <si>
    <t>Category</t>
  </si>
  <si>
    <t>Comments</t>
  </si>
  <si>
    <t>Income</t>
  </si>
  <si>
    <t>Monthly support</t>
  </si>
  <si>
    <t>Housing allowance</t>
  </si>
  <si>
    <t>January salary</t>
  </si>
  <si>
    <t>January rent</t>
  </si>
  <si>
    <t>Electricity and WiFi</t>
  </si>
  <si>
    <t>Supermarket</t>
  </si>
  <si>
    <t>Monthly pass</t>
  </si>
  <si>
    <t>Streaming services</t>
  </si>
  <si>
    <t>Savings_Investments</t>
  </si>
  <si>
    <t>Monthly saving</t>
  </si>
  <si>
    <t>Loan repayment</t>
  </si>
  <si>
    <t>February salary</t>
  </si>
  <si>
    <t>February rent</t>
  </si>
  <si>
    <t>Coffee outing</t>
  </si>
  <si>
    <t>Pharmacy</t>
  </si>
  <si>
    <t>ETF investment</t>
  </si>
  <si>
    <t>Card repayment</t>
  </si>
  <si>
    <t>March salary</t>
  </si>
  <si>
    <t>Tutoring</t>
  </si>
  <si>
    <t>March rent</t>
  </si>
  <si>
    <t>Clothes</t>
  </si>
  <si>
    <t>Cinema</t>
  </si>
  <si>
    <t>April salary</t>
  </si>
  <si>
    <t>April rent</t>
  </si>
  <si>
    <t>Friends</t>
  </si>
  <si>
    <t>Monthly subscriptions</t>
  </si>
  <si>
    <t>Future trip</t>
  </si>
  <si>
    <t>Internship salary</t>
  </si>
  <si>
    <t>May rent</t>
  </si>
  <si>
    <t>Concert</t>
  </si>
  <si>
    <t>Increased saving</t>
  </si>
  <si>
    <t>June rent</t>
  </si>
  <si>
    <t>Summer clothes</t>
  </si>
  <si>
    <t>Tuition reserve</t>
  </si>
  <si>
    <t>July rent</t>
  </si>
  <si>
    <t>Summer outings</t>
  </si>
  <si>
    <t>Festival</t>
  </si>
  <si>
    <t>Summer trip</t>
  </si>
  <si>
    <t>August rent</t>
  </si>
  <si>
    <t>Extra saving</t>
  </si>
  <si>
    <t>September salary</t>
  </si>
  <si>
    <t>September rent</t>
  </si>
  <si>
    <t>School supplies</t>
  </si>
  <si>
    <t>October salary</t>
  </si>
  <si>
    <t>October rent</t>
  </si>
  <si>
    <t>Doctor visit</t>
  </si>
  <si>
    <t>November salary</t>
  </si>
  <si>
    <t>November rent</t>
  </si>
  <si>
    <t>December salary</t>
  </si>
  <si>
    <t>December rent</t>
  </si>
  <si>
    <t>Holiday gifts</t>
  </si>
  <si>
    <t>End year outings</t>
  </si>
  <si>
    <t>Interests</t>
  </si>
  <si>
    <t>Budget</t>
  </si>
  <si>
    <t>Actual</t>
  </si>
  <si>
    <t>Diff.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</si>
</sst>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3" x14ac:knownFonts="1">
    <font>
      <sz val="11"/>
      <color theme="1"/>
      <name val="Aptos Narrow"/>
      <family val="2"/>
      <scheme val="minor"/>
    </font>
    <font>
      <sz val="12"/>
      <color theme="1"/>
      <name val="Mr Gabe"/>
    </font>
    <font>
      <b/>
      <sz val="12"/>
      <color theme="1"/>
      <name val="Amasis MT Pro Medium"/>
      <family val="1"/>
    </font>
    <font>
      <b/>
      <sz val="12"/>
      <color theme="1"/>
      <name val="Amasis MT Pro"/>
      <family val="1"/>
    </font>
    <font>
      <sz val="8"/>
      <name val="Aptos Narrow"/>
      <family val="2"/>
      <scheme val="minor"/>
    </font>
    <font>
      <b/>
      <sz val="15"/>
      <color theme="1"/>
      <name val="Amasis MT Pro"/>
      <family val="1"/>
    </font>
    <font>
      <b/>
      <sz val="11"/>
      <color rgb="FF632024"/>
      <name val="Amasis MT Pro"/>
      <family val="1"/>
    </font>
    <font>
      <b/>
      <sz val="11"/>
      <color rgb="FF6F4D38"/>
      <name val="Amasis MT Pro"/>
      <family val="1"/>
    </font>
    <font>
      <b/>
      <sz val="11"/>
      <color rgb="FF617891"/>
      <name val="Amasis MT Pro"/>
      <family val="1"/>
    </font>
    <font>
      <b/>
      <sz val="17"/>
      <color theme="1" tint="4.9989318521683403E-2"/>
      <name val="Amasis MT Pro"/>
      <family val="1"/>
    </font>
    <font>
      <b/>
      <sz val="14"/>
      <color theme="1"/>
      <name val="Amasis MT Pro"/>
      <family val="1"/>
    </font>
    <font>
      <sz val="11"/>
      <color theme="1" tint="0.249977111117893"/>
      <name val="Aptos Narrow"/>
      <family val="2"/>
      <scheme val="minor"/>
    </font>
    <font>
      <b/>
      <sz val="11"/>
      <color rgb="FFE7D8C3"/>
      <name val="Amasis MT Pro"/>
      <family val="1"/>
    </font>
    <font>
      <b/>
      <sz val="10"/>
      <color theme="1"/>
      <name val="Amasis MT Pro"/>
      <family val="1"/>
    </font>
    <font>
      <sz val="11"/>
      <color rgb="FFE7D8C3"/>
      <name val="Aptos Narrow"/>
      <family val="2"/>
      <scheme val="minor"/>
    </font>
    <font>
      <b/>
      <sz val="11"/>
      <color theme="1"/>
      <name val="Amasis MT Pro"/>
      <family val="1"/>
    </font>
    <font>
      <sz val="12"/>
      <color theme="1"/>
      <name val="Amasis MT Pro"/>
      <family val="1"/>
    </font>
    <font>
      <b/>
      <sz val="11"/>
      <color theme="1"/>
      <name val="Aptos Narrow"/>
      <family val="2"/>
      <scheme val="minor"/>
    </font>
    <font>
      <b/>
      <sz val="10"/>
      <color theme="0"/>
      <name val="Amasis MT Pro"/>
      <family val="1"/>
    </font>
    <font>
      <b/>
      <sz val="12"/>
      <color theme="1"/>
      <name val="Aptos Narrow"/>
      <family val="2"/>
      <scheme val="minor"/>
    </font>
    <font>
      <sz val="11"/>
      <color theme="1"/>
      <name val="Aptos Narrow"/>
      <family val="2"/>
      <scheme val="minor"/>
    </font>
    <font>
      <b/>
      <sz val="12"/>
      <color theme="0"/>
      <name val="Aptos Narrow"/>
      <family val="2"/>
      <scheme val="minor"/>
    </font>
    <font>
      <sz val="30"/>
      <color theme="1" tint="0.14999847407452621"/>
      <name val="Amasis MT Pro"/>
      <family val="1"/>
    </font>
  </fonts>
  <fills count="16">
    <fill>
      <patternFill patternType="none"/>
    </fill>
    <fill>
      <patternFill patternType="gray125"/>
    </fill>
    <fill>
      <patternFill patternType="solid">
        <fgColor rgb="FFC8D1DA"/>
        <bgColor indexed="64"/>
      </patternFill>
    </fill>
    <fill>
      <patternFill patternType="solid">
        <fgColor rgb="FFCFD8E9"/>
        <bgColor indexed="64"/>
      </patternFill>
    </fill>
    <fill>
      <patternFill patternType="solid">
        <fgColor rgb="FFF1D3D5"/>
        <bgColor indexed="64"/>
      </patternFill>
    </fill>
    <fill>
      <patternFill patternType="solid">
        <fgColor rgb="FFCED7E8"/>
        <bgColor indexed="64"/>
      </patternFill>
    </fill>
    <fill>
      <patternFill patternType="solid">
        <fgColor rgb="FFECC6C9"/>
        <bgColor indexed="64"/>
      </patternFill>
    </fill>
    <fill>
      <patternFill patternType="solid">
        <fgColor rgb="FFC7A48F"/>
        <bgColor indexed="64"/>
      </patternFill>
    </fill>
    <fill>
      <patternFill patternType="solid">
        <fgColor rgb="FFA7B5C5"/>
        <bgColor indexed="64"/>
      </patternFill>
    </fill>
    <fill>
      <patternFill patternType="solid">
        <fgColor theme="7" tint="0.79998168889431442"/>
        <bgColor indexed="64"/>
      </patternFill>
    </fill>
    <fill>
      <patternFill patternType="solid">
        <fgColor rgb="FF617891"/>
        <bgColor indexed="64"/>
      </patternFill>
    </fill>
    <fill>
      <patternFill patternType="solid">
        <fgColor rgb="FFFFFAFA"/>
        <bgColor indexed="64"/>
      </patternFill>
    </fill>
    <fill>
      <patternFill patternType="solid">
        <fgColor rgb="FFFFF5EE"/>
        <bgColor indexed="64"/>
      </patternFill>
    </fill>
    <fill>
      <patternFill patternType="solid">
        <fgColor rgb="FFFFFAF0"/>
        <bgColor indexed="64"/>
      </patternFill>
    </fill>
    <fill>
      <patternFill patternType="solid">
        <fgColor rgb="FFD4D9DE"/>
        <bgColor indexed="64"/>
      </patternFill>
    </fill>
    <fill>
      <patternFill patternType="solid">
        <fgColor rgb="FFF5F5F5"/>
        <bgColor indexed="64"/>
      </patternFill>
    </fill>
  </fills>
  <borders count="20">
    <border>
      <left/>
      <right/>
      <top/>
      <bottom/>
      <diagonal/>
    </border>
    <border>
      <left style="hair">
        <color theme="0" tint="-4.9989318521683403E-2"/>
      </left>
      <right/>
      <top/>
      <bottom/>
      <diagonal/>
    </border>
    <border>
      <left/>
      <right style="hair">
        <color theme="0" tint="-4.9989318521683403E-2"/>
      </right>
      <top/>
      <bottom/>
      <diagonal/>
    </border>
    <border>
      <left style="hair">
        <color theme="0" tint="-4.9989318521683403E-2"/>
      </left>
      <right/>
      <top/>
      <bottom style="hair">
        <color theme="0" tint="-4.9989318521683403E-2"/>
      </bottom>
      <diagonal/>
    </border>
    <border>
      <left/>
      <right style="hair">
        <color theme="0" tint="-4.9989318521683403E-2"/>
      </right>
      <top/>
      <bottom style="hair">
        <color theme="0" tint="-4.9989318521683403E-2"/>
      </bottom>
      <diagonal/>
    </border>
    <border>
      <left style="hair">
        <color theme="0" tint="-4.9989318521683403E-2"/>
      </left>
      <right/>
      <top style="thick">
        <color rgb="FF632024"/>
      </top>
      <bottom/>
      <diagonal/>
    </border>
    <border>
      <left/>
      <right style="hair">
        <color theme="0" tint="-4.9989318521683403E-2"/>
      </right>
      <top style="thick">
        <color rgb="FF632024"/>
      </top>
      <bottom/>
      <diagonal/>
    </border>
    <border>
      <left style="hair">
        <color theme="0" tint="-4.9989318521683403E-2"/>
      </left>
      <right/>
      <top style="thick">
        <color rgb="FF6F4D38"/>
      </top>
      <bottom/>
      <diagonal/>
    </border>
    <border>
      <left/>
      <right style="hair">
        <color theme="0" tint="-4.9989318521683403E-2"/>
      </right>
      <top style="thick">
        <color rgb="FF6F4D38"/>
      </top>
      <bottom/>
      <diagonal/>
    </border>
    <border>
      <left style="hair">
        <color theme="0" tint="-4.9989318521683403E-2"/>
      </left>
      <right/>
      <top style="thick">
        <color rgb="FF617891"/>
      </top>
      <bottom/>
      <diagonal/>
    </border>
    <border>
      <left/>
      <right style="hair">
        <color theme="0" tint="-4.9989318521683403E-2"/>
      </right>
      <top style="thick">
        <color rgb="FF617891"/>
      </top>
      <bottom/>
      <diagonal/>
    </border>
    <border>
      <left/>
      <right/>
      <top style="thick">
        <color theme="0"/>
      </top>
      <bottom/>
      <diagonal/>
    </border>
    <border>
      <left/>
      <right/>
      <top/>
      <bottom style="thick">
        <color theme="0"/>
      </bottom>
      <diagonal/>
    </border>
    <border>
      <left/>
      <right/>
      <top style="thick">
        <color theme="0"/>
      </top>
      <bottom style="hair">
        <color theme="0" tint="-4.9989318521683403E-2"/>
      </bottom>
      <diagonal/>
    </border>
    <border>
      <left/>
      <right/>
      <top/>
      <bottom style="hair">
        <color theme="0" tint="-4.9989318521683403E-2"/>
      </bottom>
      <diagonal/>
    </border>
    <border>
      <left/>
      <right/>
      <top style="hair">
        <color theme="0" tint="-4.9989318521683403E-2"/>
      </top>
      <bottom/>
      <diagonal/>
    </border>
    <border>
      <left/>
      <right/>
      <top style="hair">
        <color theme="0" tint="-4.9989318521683403E-2"/>
      </top>
      <bottom style="hair">
        <color theme="0" tint="-4.9989318521683403E-2"/>
      </bottom>
      <diagonal/>
    </border>
    <border>
      <left/>
      <right/>
      <top/>
      <bottom style="thick">
        <color auto="1"/>
      </bottom>
      <diagonal/>
    </border>
    <border>
      <left/>
      <right/>
      <top style="hair">
        <color theme="0" tint="-0.34998626667073579"/>
      </top>
      <bottom/>
      <diagonal/>
    </border>
    <border>
      <left/>
      <right/>
      <top style="thin">
        <color theme="4" tint="0.39997558519241921"/>
      </top>
      <bottom style="thin">
        <color theme="4" tint="0.39997558519241921"/>
      </bottom>
      <diagonal/>
    </border>
  </borders>
  <cellStyleXfs count="2">
    <xf numFmtId="0" fontId="0" fillId="0" borderId="0"/>
    <xf numFmtId="9" fontId="20" fillId="0" borderId="0" applyFont="0" applyFill="0" applyBorder="0" applyAlignment="0" applyProtection="0"/>
  </cellStyleXfs>
  <cellXfs count="126">
    <xf numFmtId="0" fontId="0" fillId="0" borderId="0" xfId="0"/>
    <xf numFmtId="0" fontId="1" fillId="4" borderId="2" xfId="0" applyFont="1" applyFill="1" applyBorder="1">
      <extLst>
        <ext xmlns:xfpb="http://schemas.microsoft.com/office/spreadsheetml/2022/featurepropertybag" uri="{C7286773-470A-42A8-94C5-96B5CB345126}">
          <xfpb:xfComplement i="0"/>
        </ext>
      </extLst>
    </xf>
    <xf numFmtId="0" fontId="1" fillId="2" borderId="2" xfId="0" applyFont="1" applyFill="1" applyBorder="1">
      <extLst>
        <ext xmlns:xfpb="http://schemas.microsoft.com/office/spreadsheetml/2022/featurepropertybag" uri="{C7286773-470A-42A8-94C5-96B5CB345126}">
          <xfpb:xfComplement i="0"/>
        </ext>
      </extLst>
    </xf>
    <xf numFmtId="0" fontId="1" fillId="2" borderId="4" xfId="0" applyFont="1" applyFill="1" applyBorder="1">
      <extLst>
        <ext xmlns:xfpb="http://schemas.microsoft.com/office/spreadsheetml/2022/featurepropertybag" uri="{C7286773-470A-42A8-94C5-96B5CB345126}">
          <xfpb:xfComplement i="0"/>
        </ext>
      </extLst>
    </xf>
    <xf numFmtId="0" fontId="1" fillId="4" borderId="6" xfId="0" applyFont="1" applyFill="1" applyBorder="1">
      <extLst>
        <ext xmlns:xfpb="http://schemas.microsoft.com/office/spreadsheetml/2022/featurepropertybag" uri="{C7286773-470A-42A8-94C5-96B5CB345126}">
          <xfpb:xfComplement i="0"/>
        </ext>
      </extLst>
    </xf>
    <xf numFmtId="0" fontId="1" fillId="2" borderId="10" xfId="0" applyFont="1" applyFill="1" applyBorder="1">
      <extLst>
        <ext xmlns:xfpb="http://schemas.microsoft.com/office/spreadsheetml/2022/featurepropertybag" uri="{C7286773-470A-42A8-94C5-96B5CB345126}">
          <xfpb:xfComplement i="0"/>
        </ext>
      </extLst>
    </xf>
    <xf numFmtId="0" fontId="3" fillId="4" borderId="5" xfId="0" applyFont="1" applyFill="1" applyBorder="1" applyAlignment="1">
      <alignment horizontal="left"/>
    </xf>
    <xf numFmtId="0" fontId="3" fillId="4" borderId="1" xfId="0" applyFont="1" applyFill="1" applyBorder="1" applyAlignment="1">
      <alignment horizontal="left"/>
    </xf>
    <xf numFmtId="0" fontId="3" fillId="2" borderId="9" xfId="0" applyFont="1" applyFill="1" applyBorder="1" applyAlignment="1">
      <alignment horizontal="left"/>
    </xf>
    <xf numFmtId="0" fontId="3" fillId="2" borderId="1" xfId="0" applyFont="1" applyFill="1" applyBorder="1" applyAlignment="1">
      <alignment horizontal="left"/>
    </xf>
    <xf numFmtId="0" fontId="3" fillId="2" borderId="3" xfId="0" applyFont="1" applyFill="1" applyBorder="1" applyAlignment="1">
      <alignment horizontal="left"/>
    </xf>
    <xf numFmtId="0" fontId="3" fillId="7" borderId="7" xfId="0" applyFont="1" applyFill="1" applyBorder="1" applyAlignment="1">
      <alignment horizontal="left"/>
    </xf>
    <xf numFmtId="0" fontId="1" fillId="7" borderId="8" xfId="0" applyFont="1" applyFill="1" applyBorder="1">
      <extLst>
        <ext xmlns:xfpb="http://schemas.microsoft.com/office/spreadsheetml/2022/featurepropertybag" uri="{C7286773-470A-42A8-94C5-96B5CB345126}">
          <xfpb:xfComplement i="0"/>
        </ext>
      </extLst>
    </xf>
    <xf numFmtId="0" fontId="3" fillId="7" borderId="1" xfId="0" applyFont="1" applyFill="1" applyBorder="1" applyAlignment="1">
      <alignment horizontal="left"/>
    </xf>
    <xf numFmtId="0" fontId="1" fillId="7" borderId="2" xfId="0" applyFont="1" applyFill="1" applyBorder="1">
      <extLst>
        <ext xmlns:xfpb="http://schemas.microsoft.com/office/spreadsheetml/2022/featurepropertybag" uri="{C7286773-470A-42A8-94C5-96B5CB345126}">
          <xfpb:xfComplement i="0"/>
        </ext>
      </extLst>
    </xf>
    <xf numFmtId="0" fontId="3" fillId="7" borderId="3" xfId="0" applyFont="1" applyFill="1" applyBorder="1" applyAlignment="1">
      <alignment horizontal="left"/>
    </xf>
    <xf numFmtId="0" fontId="1" fillId="7" borderId="4" xfId="0" applyFont="1" applyFill="1" applyBorder="1">
      <extLst>
        <ext xmlns:xfpb="http://schemas.microsoft.com/office/spreadsheetml/2022/featurepropertybag" uri="{C7286773-470A-42A8-94C5-96B5CB345126}">
          <xfpb:xfComplement i="0"/>
        </ext>
      </extLst>
    </xf>
    <xf numFmtId="0" fontId="3" fillId="3" borderId="0" xfId="0" applyFont="1" applyFill="1" applyAlignment="1">
      <alignment horizontal="left"/>
    </xf>
    <xf numFmtId="0" fontId="1" fillId="3" borderId="0" xfId="0" applyFont="1" applyFill="1">
      <extLst>
        <ext xmlns:xfpb="http://schemas.microsoft.com/office/spreadsheetml/2022/featurepropertybag" uri="{C7286773-470A-42A8-94C5-96B5CB345126}">
          <xfpb:xfComplement i="0"/>
        </ext>
      </extLst>
    </xf>
    <xf numFmtId="0" fontId="13" fillId="6" borderId="0" xfId="0" applyFont="1" applyFill="1" applyAlignment="1">
      <alignment horizontal="center"/>
    </xf>
    <xf numFmtId="0" fontId="13" fillId="9" borderId="0" xfId="0" applyFont="1" applyFill="1"/>
    <xf numFmtId="0" fontId="13" fillId="9" borderId="0" xfId="0" applyFont="1" applyFill="1" applyAlignment="1">
      <alignment horizontal="center"/>
    </xf>
    <xf numFmtId="0" fontId="13" fillId="7" borderId="0" xfId="0" applyFont="1" applyFill="1" applyAlignment="1">
      <alignment horizontal="center"/>
    </xf>
    <xf numFmtId="0" fontId="13" fillId="10" borderId="0" xfId="0" applyFont="1" applyFill="1"/>
    <xf numFmtId="0" fontId="13" fillId="10" borderId="0" xfId="0" applyFont="1" applyFill="1" applyAlignment="1">
      <alignment horizontal="center"/>
    </xf>
    <xf numFmtId="0" fontId="0" fillId="11" borderId="0" xfId="0" applyFill="1"/>
    <xf numFmtId="0" fontId="0" fillId="12" borderId="0" xfId="0" applyFill="1"/>
    <xf numFmtId="0" fontId="0" fillId="13" borderId="0" xfId="0" applyFill="1"/>
    <xf numFmtId="0" fontId="3" fillId="13" borderId="0" xfId="0" applyFont="1" applyFill="1" applyAlignment="1">
      <alignment horizontal="right"/>
    </xf>
    <xf numFmtId="0" fontId="3" fillId="13" borderId="0" xfId="0" applyFont="1" applyFill="1"/>
    <xf numFmtId="0" fontId="0" fillId="13" borderId="11" xfId="0" applyFill="1" applyBorder="1"/>
    <xf numFmtId="0" fontId="10" fillId="13" borderId="12" xfId="0" applyFont="1" applyFill="1" applyBorder="1" applyAlignment="1">
      <alignment horizontal="center" vertical="center"/>
    </xf>
    <xf numFmtId="0" fontId="12" fillId="13" borderId="12" xfId="0" applyFont="1" applyFill="1" applyBorder="1" applyAlignment="1">
      <alignment horizontal="center" vertical="center"/>
    </xf>
    <xf numFmtId="0" fontId="10" fillId="13" borderId="14" xfId="0" applyFont="1" applyFill="1" applyBorder="1" applyAlignment="1">
      <alignment horizontal="left" vertical="top"/>
    </xf>
    <xf numFmtId="0" fontId="10" fillId="13" borderId="13" xfId="0" applyFont="1" applyFill="1" applyBorder="1" applyAlignment="1">
      <alignment horizontal="left" vertical="top"/>
    </xf>
    <xf numFmtId="0" fontId="10" fillId="13" borderId="16" xfId="0" applyFont="1" applyFill="1" applyBorder="1" applyAlignment="1">
      <alignment horizontal="left" vertical="top"/>
    </xf>
    <xf numFmtId="0" fontId="10" fillId="13" borderId="15" xfId="0" applyFont="1" applyFill="1" applyBorder="1" applyAlignment="1">
      <alignment horizontal="center" vertical="center"/>
    </xf>
    <xf numFmtId="0" fontId="3" fillId="13" borderId="12" xfId="0" applyFont="1" applyFill="1" applyBorder="1" applyAlignment="1">
      <alignment horizontal="center" vertical="center"/>
    </xf>
    <xf numFmtId="0" fontId="0" fillId="13" borderId="12" xfId="0" applyFill="1" applyBorder="1"/>
    <xf numFmtId="0" fontId="3" fillId="13" borderId="13" xfId="0" applyFont="1" applyFill="1" applyBorder="1"/>
    <xf numFmtId="0" fontId="3" fillId="13" borderId="14" xfId="0" applyFont="1" applyFill="1" applyBorder="1"/>
    <xf numFmtId="0" fontId="10" fillId="13" borderId="0" xfId="0" applyFont="1" applyFill="1" applyAlignment="1">
      <alignment horizontal="center" vertical="center"/>
    </xf>
    <xf numFmtId="0" fontId="3" fillId="13" borderId="12" xfId="0" applyFont="1" applyFill="1" applyBorder="1" applyAlignment="1">
      <alignment horizontal="right" vertical="center"/>
    </xf>
    <xf numFmtId="0" fontId="3" fillId="13" borderId="0" xfId="0" applyFont="1" applyFill="1" applyAlignment="1">
      <alignment horizontal="right" vertical="center"/>
    </xf>
    <xf numFmtId="0" fontId="1" fillId="12" borderId="0" xfId="0" applyFont="1" applyFill="1"/>
    <xf numFmtId="0" fontId="2" fillId="12" borderId="0" xfId="0" applyFont="1" applyFill="1"/>
    <xf numFmtId="0" fontId="5" fillId="12" borderId="0" xfId="0" applyFont="1" applyFill="1"/>
    <xf numFmtId="0" fontId="5" fillId="12" borderId="0" xfId="0" applyFont="1" applyFill="1" applyAlignment="1">
      <alignment horizontal="center"/>
    </xf>
    <xf numFmtId="0" fontId="5" fillId="12" borderId="17" xfId="0" applyFont="1" applyFill="1" applyBorder="1"/>
    <xf numFmtId="0" fontId="5" fillId="12" borderId="17" xfId="0" applyFont="1" applyFill="1" applyBorder="1" applyAlignment="1">
      <alignment horizontal="center"/>
    </xf>
    <xf numFmtId="0" fontId="14" fillId="12" borderId="0" xfId="0" applyFont="1" applyFill="1"/>
    <xf numFmtId="0" fontId="16" fillId="12" borderId="0" xfId="0" applyFont="1" applyFill="1"/>
    <xf numFmtId="0" fontId="3" fillId="12" borderId="0" xfId="0" applyFont="1" applyFill="1"/>
    <xf numFmtId="14" fontId="16" fillId="12" borderId="18" xfId="0" applyNumberFormat="1" applyFont="1" applyFill="1" applyBorder="1"/>
    <xf numFmtId="0" fontId="16" fillId="12" borderId="18" xfId="0" applyFont="1" applyFill="1" applyBorder="1"/>
    <xf numFmtId="0" fontId="0" fillId="0" borderId="0" xfId="0" pivotButton="1"/>
    <xf numFmtId="0" fontId="0" fillId="0" borderId="0" xfId="0" applyAlignment="1">
      <alignment horizontal="left"/>
    </xf>
    <xf numFmtId="0" fontId="18" fillId="10" borderId="19" xfId="0" applyFont="1" applyFill="1" applyBorder="1"/>
    <xf numFmtId="0" fontId="0" fillId="14" borderId="0" xfId="0" applyFill="1"/>
    <xf numFmtId="0" fontId="17" fillId="15" borderId="0" xfId="0" applyFont="1" applyFill="1"/>
    <xf numFmtId="0" fontId="0" fillId="15" borderId="0" xfId="0" applyFill="1"/>
    <xf numFmtId="0" fontId="17" fillId="5" borderId="0" xfId="0" applyFont="1" applyFill="1" applyAlignment="1">
      <alignment horizontal="left"/>
    </xf>
    <xf numFmtId="0" fontId="17" fillId="5" borderId="0" xfId="0" applyFont="1" applyFill="1" applyAlignment="1">
      <alignment horizontal="center"/>
    </xf>
    <xf numFmtId="0" fontId="0" fillId="5" borderId="0" xfId="0" applyFill="1"/>
    <xf numFmtId="0" fontId="0" fillId="5" borderId="0" xfId="0" applyFill="1" applyAlignment="1">
      <alignment horizontal="left"/>
    </xf>
    <xf numFmtId="0" fontId="0" fillId="5" borderId="0" xfId="0" applyFill="1" applyAlignment="1">
      <alignment horizontal="center"/>
    </xf>
    <xf numFmtId="0" fontId="0" fillId="6" borderId="0" xfId="0" applyFill="1"/>
    <xf numFmtId="0" fontId="17" fillId="7" borderId="0" xfId="0" applyFont="1" applyFill="1"/>
    <xf numFmtId="0" fontId="17" fillId="7" borderId="0" xfId="0" applyFont="1" applyFill="1" applyAlignment="1">
      <alignment horizontal="center" vertical="center"/>
    </xf>
    <xf numFmtId="0" fontId="0" fillId="7" borderId="0" xfId="0" applyFill="1"/>
    <xf numFmtId="0" fontId="0" fillId="7" borderId="0" xfId="0" applyFill="1" applyAlignment="1">
      <alignment horizontal="center" vertical="center"/>
    </xf>
    <xf numFmtId="0" fontId="17" fillId="8" borderId="0" xfId="0" applyFont="1" applyFill="1"/>
    <xf numFmtId="14" fontId="16" fillId="12" borderId="0" xfId="0" applyNumberFormat="1" applyFont="1" applyFill="1"/>
    <xf numFmtId="0" fontId="0" fillId="13" borderId="0" xfId="0" applyFill="1" applyProtection="1">
      <protection hidden="1"/>
    </xf>
    <xf numFmtId="0" fontId="10" fillId="13" borderId="14" xfId="0" applyFont="1" applyFill="1" applyBorder="1" applyAlignment="1" applyProtection="1">
      <alignment horizontal="left" vertical="top"/>
      <protection hidden="1"/>
    </xf>
    <xf numFmtId="0" fontId="3" fillId="4" borderId="0" xfId="0" applyFont="1" applyFill="1" applyAlignment="1">
      <alignment horizontal="left"/>
    </xf>
    <xf numFmtId="0" fontId="1" fillId="4" borderId="0" xfId="0" applyFont="1" applyFill="1">
      <extLst>
        <ext xmlns:xfpb="http://schemas.microsoft.com/office/spreadsheetml/2022/featurepropertybag" uri="{C7286773-470A-42A8-94C5-96B5CB345126}">
          <xfpb:xfComplement i="0"/>
        </ext>
      </extLst>
    </xf>
    <xf numFmtId="0" fontId="0" fillId="6" borderId="0" xfId="0" applyFill="1" applyAlignment="1">
      <alignment horizontal="center"/>
    </xf>
    <xf numFmtId="0" fontId="3" fillId="13" borderId="11" xfId="0" applyFont="1" applyFill="1" applyBorder="1" applyAlignment="1" applyProtection="1">
      <alignment horizontal="right"/>
      <protection hidden="1"/>
    </xf>
    <xf numFmtId="0" fontId="3" fillId="5" borderId="13" xfId="0" applyFont="1" applyFill="1" applyBorder="1" applyAlignment="1" applyProtection="1">
      <alignment horizontal="center" vertical="center"/>
      <protection locked="0"/>
    </xf>
    <xf numFmtId="0" fontId="3" fillId="13" borderId="14"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locked="0"/>
    </xf>
    <xf numFmtId="0" fontId="3" fillId="13" borderId="0" xfId="0" applyFont="1" applyFill="1" applyAlignment="1" applyProtection="1">
      <alignment horizontal="center" vertical="center"/>
      <protection hidden="1"/>
    </xf>
    <xf numFmtId="0" fontId="3" fillId="13" borderId="15" xfId="0" applyFont="1" applyFill="1" applyBorder="1" applyAlignment="1" applyProtection="1">
      <alignment horizontal="center" vertical="center"/>
      <protection hidden="1"/>
    </xf>
    <xf numFmtId="0" fontId="3" fillId="6" borderId="13" xfId="0" applyFont="1" applyFill="1" applyBorder="1" applyAlignment="1" applyProtection="1">
      <alignment horizontal="center" vertical="center"/>
      <protection locked="0"/>
    </xf>
    <xf numFmtId="0" fontId="3" fillId="6" borderId="14" xfId="0" applyFont="1" applyFill="1" applyBorder="1" applyAlignment="1" applyProtection="1">
      <alignment horizontal="center" vertical="center"/>
      <protection locked="0"/>
    </xf>
    <xf numFmtId="0" fontId="3" fillId="7" borderId="13" xfId="0" applyFont="1" applyFill="1" applyBorder="1" applyAlignment="1" applyProtection="1">
      <alignment horizontal="center" vertical="center"/>
      <protection locked="0"/>
    </xf>
    <xf numFmtId="0" fontId="3" fillId="7" borderId="14" xfId="0" applyFont="1" applyFill="1" applyBorder="1" applyAlignment="1" applyProtection="1">
      <alignment horizontal="center" vertical="center"/>
      <protection locked="0"/>
    </xf>
    <xf numFmtId="0" fontId="3" fillId="8" borderId="13" xfId="0" applyFont="1" applyFill="1" applyBorder="1" applyAlignment="1" applyProtection="1">
      <alignment horizontal="center" vertical="center"/>
      <protection locked="0"/>
    </xf>
    <xf numFmtId="0" fontId="3" fillId="13" borderId="13" xfId="0" applyFont="1" applyFill="1" applyBorder="1" applyAlignment="1" applyProtection="1">
      <alignment horizontal="center" vertical="center"/>
      <protection hidden="1"/>
    </xf>
    <xf numFmtId="0" fontId="3" fillId="8" borderId="14" xfId="0" applyFont="1" applyFill="1" applyBorder="1" applyAlignment="1" applyProtection="1">
      <alignment horizontal="center" vertical="center"/>
      <protection locked="0"/>
    </xf>
    <xf numFmtId="0" fontId="0" fillId="8" borderId="0" xfId="0" applyFill="1"/>
    <xf numFmtId="0" fontId="1" fillId="12" borderId="0" xfId="0" applyFont="1" applyFill="1" applyAlignment="1">
      <alignment vertical="top"/>
    </xf>
    <xf numFmtId="0" fontId="6" fillId="13" borderId="0" xfId="0" applyFont="1" applyFill="1" applyAlignment="1">
      <alignment horizontal="center" vertical="center" wrapText="1"/>
    </xf>
    <xf numFmtId="0" fontId="7" fillId="13" borderId="0" xfId="0" applyFont="1" applyFill="1" applyAlignment="1">
      <alignment horizontal="center" vertical="center" wrapText="1"/>
    </xf>
    <xf numFmtId="0" fontId="22" fillId="15" borderId="0" xfId="0" applyFont="1" applyFill="1" applyAlignment="1">
      <alignment horizontal="center" vertical="center" shrinkToFit="1"/>
    </xf>
    <xf numFmtId="0" fontId="22" fillId="15" borderId="0" xfId="0" applyFont="1" applyFill="1" applyAlignment="1">
      <alignment horizontal="left" vertical="center" shrinkToFit="1"/>
    </xf>
    <xf numFmtId="0" fontId="9" fillId="13" borderId="0" xfId="0" applyFont="1" applyFill="1" applyAlignment="1">
      <alignment horizontal="center" vertical="top"/>
    </xf>
    <xf numFmtId="0" fontId="3" fillId="13" borderId="0" xfId="0" applyFont="1" applyFill="1" applyAlignment="1">
      <alignment horizontal="center" vertical="center"/>
    </xf>
    <xf numFmtId="10" fontId="0" fillId="13" borderId="0" xfId="0" applyNumberFormat="1" applyFill="1" applyAlignment="1">
      <alignment horizontal="center" vertical="center"/>
    </xf>
    <xf numFmtId="164" fontId="6" fillId="13" borderId="0" xfId="0" applyNumberFormat="1" applyFont="1" applyFill="1" applyAlignment="1" applyProtection="1">
      <alignment horizontal="center" vertical="center" wrapText="1"/>
      <protection hidden="1"/>
    </xf>
    <xf numFmtId="0" fontId="6" fillId="13" borderId="0" xfId="0" applyFont="1" applyFill="1" applyAlignment="1">
      <alignment horizontal="center" vertical="center" wrapText="1"/>
    </xf>
    <xf numFmtId="0" fontId="7" fillId="13" borderId="0" xfId="0" applyFont="1" applyFill="1" applyAlignment="1">
      <alignment horizontal="center" vertical="center" wrapText="1"/>
    </xf>
    <xf numFmtId="0" fontId="8" fillId="13" borderId="0" xfId="0" applyFont="1" applyFill="1" applyAlignment="1">
      <alignment horizontal="center" vertical="center" wrapText="1"/>
    </xf>
    <xf numFmtId="0" fontId="0" fillId="13" borderId="0" xfId="0" applyFill="1" applyAlignment="1">
      <alignment horizontal="center" vertical="center"/>
    </xf>
    <xf numFmtId="164" fontId="7" fillId="13" borderId="0" xfId="0" applyNumberFormat="1" applyFont="1" applyFill="1" applyAlignment="1" applyProtection="1">
      <alignment horizontal="center" vertical="center" wrapText="1"/>
      <protection hidden="1"/>
    </xf>
    <xf numFmtId="10" fontId="11" fillId="13" borderId="0" xfId="0" applyNumberFormat="1" applyFont="1" applyFill="1" applyAlignment="1">
      <alignment horizontal="center" vertical="center"/>
    </xf>
    <xf numFmtId="0" fontId="11" fillId="13" borderId="0" xfId="0" applyFont="1" applyFill="1" applyAlignment="1">
      <alignment horizontal="center" vertical="center"/>
    </xf>
    <xf numFmtId="164" fontId="8" fillId="13" borderId="0" xfId="0" applyNumberFormat="1" applyFont="1" applyFill="1" applyAlignment="1" applyProtection="1">
      <alignment horizontal="center" vertical="center" wrapText="1"/>
      <protection hidden="1"/>
    </xf>
    <xf numFmtId="0" fontId="15" fillId="13" borderId="0" xfId="0" applyFont="1" applyFill="1" applyAlignment="1">
      <alignment horizontal="center" vertical="center"/>
    </xf>
    <xf numFmtId="0" fontId="0" fillId="15" borderId="0" xfId="0" applyFill="1" applyAlignment="1">
      <alignment horizontal="center"/>
    </xf>
    <xf numFmtId="9" fontId="21" fillId="14" borderId="0" xfId="1" applyFont="1" applyFill="1" applyAlignment="1">
      <alignment horizontal="center"/>
    </xf>
    <xf numFmtId="0" fontId="19" fillId="15" borderId="0" xfId="0" applyFont="1" applyFill="1" applyAlignment="1">
      <alignment horizontal="center"/>
    </xf>
    <xf numFmtId="0" fontId="0" fillId="0" borderId="0" xfId="0" applyNumberFormat="1"/>
    <xf numFmtId="0" fontId="17" fillId="5" borderId="0" xfId="0" applyFont="1" applyFill="1" applyBorder="1" applyAlignment="1">
      <alignment horizontal="left"/>
    </xf>
    <xf numFmtId="0" fontId="17" fillId="5" borderId="0" xfId="0" applyFont="1" applyFill="1" applyBorder="1" applyAlignment="1">
      <alignment horizontal="center"/>
    </xf>
    <xf numFmtId="0" fontId="17" fillId="5" borderId="0" xfId="0" applyNumberFormat="1" applyFont="1" applyFill="1" applyBorder="1" applyAlignment="1">
      <alignment horizontal="center"/>
    </xf>
    <xf numFmtId="0" fontId="17" fillId="6" borderId="0" xfId="0" applyFont="1" applyFill="1" applyBorder="1"/>
    <xf numFmtId="0" fontId="17" fillId="6" borderId="0" xfId="0" applyFont="1" applyFill="1" applyBorder="1" applyAlignment="1">
      <alignment horizontal="center" vertical="center"/>
    </xf>
    <xf numFmtId="0" fontId="17" fillId="6" borderId="0" xfId="0" applyNumberFormat="1" applyFont="1" applyFill="1" applyBorder="1" applyAlignment="1">
      <alignment horizontal="center" vertical="center"/>
    </xf>
    <xf numFmtId="0" fontId="17" fillId="7" borderId="0" xfId="0" applyFont="1" applyFill="1" applyBorder="1"/>
    <xf numFmtId="0" fontId="17" fillId="7" borderId="0" xfId="0" applyFont="1" applyFill="1" applyBorder="1" applyAlignment="1">
      <alignment horizontal="center" vertical="center"/>
    </xf>
    <xf numFmtId="0" fontId="17" fillId="7" borderId="0" xfId="0" applyNumberFormat="1" applyFont="1" applyFill="1" applyBorder="1" applyAlignment="1">
      <alignment horizontal="center" vertical="center"/>
    </xf>
    <xf numFmtId="0" fontId="17" fillId="8" borderId="0" xfId="0" applyFont="1" applyFill="1" applyBorder="1"/>
    <xf numFmtId="0" fontId="17" fillId="8" borderId="0" xfId="0" applyNumberFormat="1" applyFont="1" applyFill="1" applyBorder="1"/>
    <xf numFmtId="0" fontId="0" fillId="12" borderId="0" xfId="0" applyNumberFormat="1" applyFill="1"/>
  </cellXfs>
  <cellStyles count="2">
    <cellStyle name="Normal" xfId="0" builtinId="0"/>
    <cellStyle name="Per cent" xfId="1" builtinId="5"/>
  </cellStyles>
  <dxfs count="241">
    <dxf>
      <fill>
        <patternFill>
          <bgColor rgb="FFECC6C9"/>
        </patternFill>
      </fill>
    </dxf>
    <dxf>
      <fill>
        <patternFill>
          <bgColor rgb="FFECC6C9"/>
        </patternFill>
      </fill>
    </dxf>
    <dxf>
      <fill>
        <patternFill>
          <bgColor rgb="FFECC6C9"/>
        </patternFill>
      </fill>
    </dxf>
    <dxf>
      <fill>
        <patternFill>
          <bgColor rgb="FFECC6C9"/>
        </patternFill>
      </fill>
    </dxf>
    <dxf>
      <fill>
        <patternFill>
          <bgColor rgb="FFECC6C9"/>
        </patternFill>
      </fill>
    </dxf>
    <dxf>
      <alignment horizontal="center"/>
    </dxf>
    <dxf>
      <alignment horizontal="center"/>
    </dxf>
    <dxf>
      <font>
        <sz val="11"/>
      </font>
    </dxf>
    <dxf>
      <font>
        <sz val="11"/>
      </font>
    </dxf>
    <dxf>
      <alignment vertical="center"/>
    </dxf>
    <dxf>
      <alignment vertical="center"/>
    </dxf>
    <dxf>
      <alignment horizontal="center"/>
    </dxf>
    <dxf>
      <font>
        <b/>
      </font>
    </dxf>
    <dxf>
      <font>
        <b/>
      </font>
    </dxf>
    <dxf>
      <font>
        <b/>
      </font>
    </dxf>
    <dxf>
      <font>
        <b/>
      </font>
    </dxf>
    <dxf>
      <font>
        <b/>
      </font>
    </dxf>
    <dxf>
      <border>
        <left/>
        <top/>
      </border>
    </dxf>
    <dxf>
      <border>
        <left/>
        <top/>
      </border>
    </dxf>
    <dxf>
      <border>
        <left/>
        <top/>
      </border>
    </dxf>
    <dxf>
      <border>
        <left/>
        <top/>
      </border>
    </dxf>
    <dxf>
      <border>
        <left/>
        <top/>
      </border>
    </dxf>
    <dxf>
      <fill>
        <patternFill>
          <bgColor rgb="FFFFFAF0"/>
        </patternFill>
      </fill>
    </dxf>
    <dxf>
      <fill>
        <patternFill>
          <bgColor rgb="FFFFFAF0"/>
        </patternFill>
      </fill>
    </dxf>
    <dxf>
      <fill>
        <patternFill>
          <bgColor rgb="FFFFFAF0"/>
        </patternFill>
      </fill>
    </dxf>
    <dxf>
      <fill>
        <patternFill>
          <bgColor rgb="FFFFFAF0"/>
        </patternFill>
      </fill>
    </dxf>
    <dxf>
      <fill>
        <patternFill>
          <bgColor rgb="FFFFFAF0"/>
        </patternFill>
      </fill>
    </dxf>
    <dxf>
      <fill>
        <patternFill>
          <bgColor rgb="FFFFFAF0"/>
        </patternFill>
      </fill>
    </dxf>
    <dxf>
      <border>
        <right/>
      </border>
    </dxf>
    <dxf>
      <border>
        <right/>
      </border>
    </dxf>
    <dxf>
      <border>
        <right/>
      </border>
    </dxf>
    <dxf>
      <border>
        <right/>
      </border>
    </dxf>
    <dxf>
      <border>
        <right/>
      </border>
    </dxf>
    <dxf>
      <border>
        <right/>
      </border>
    </dxf>
    <dxf>
      <fill>
        <patternFill>
          <bgColor rgb="FFCED7E8"/>
        </patternFill>
      </fill>
    </dxf>
    <dxf>
      <fill>
        <patternFill>
          <bgColor rgb="FFCED7E8"/>
        </patternFill>
      </fill>
    </dxf>
    <dxf>
      <fill>
        <patternFill>
          <bgColor rgb="FFCED7E8"/>
        </patternFill>
      </fill>
    </dxf>
    <dxf>
      <fill>
        <patternFill>
          <bgColor rgb="FFCED7E8"/>
        </patternFill>
      </fill>
    </dxf>
    <dxf>
      <fill>
        <patternFill>
          <bgColor rgb="FFCED7E8"/>
        </patternFill>
      </fill>
    </dxf>
    <dxf>
      <font>
        <b/>
      </font>
    </dxf>
    <dxf>
      <font>
        <b/>
      </font>
    </dxf>
    <dxf>
      <font>
        <b/>
      </font>
    </dxf>
    <dxf>
      <font>
        <b/>
      </font>
    </dxf>
    <dxf>
      <font>
        <b/>
      </font>
    </dxf>
    <dxf>
      <border>
        <left/>
        <right/>
        <top/>
        <bottom/>
      </border>
    </dxf>
    <dxf>
      <border>
        <left/>
        <right/>
        <top/>
        <bottom/>
      </border>
    </dxf>
    <dxf>
      <border>
        <left/>
        <right/>
        <top/>
        <bottom/>
      </border>
    </dxf>
    <dxf>
      <border>
        <left/>
        <right/>
        <top/>
        <bottom/>
      </border>
    </dxf>
    <dxf>
      <border>
        <left/>
        <right/>
        <top/>
        <bottom/>
      </border>
    </dxf>
    <dxf>
      <font>
        <b/>
      </font>
    </dxf>
    <dxf>
      <font>
        <b/>
      </font>
    </dxf>
    <dxf>
      <alignment horizontal="left"/>
    </dxf>
    <dxf>
      <alignment horizontal="left"/>
    </dxf>
    <dxf>
      <alignment horizontal="center"/>
    </dxf>
    <dxf>
      <alignment horizontal="center"/>
    </dxf>
    <dxf>
      <alignment horizontal="center"/>
    </dxf>
    <dxf>
      <alignment horizontal="center"/>
    </dxf>
    <dxf>
      <fill>
        <patternFill>
          <bgColor rgb="FFFFFAF0"/>
        </patternFill>
      </fill>
    </dxf>
    <dxf>
      <fill>
        <patternFill>
          <bgColor rgb="FFFFFAF0"/>
        </patternFill>
      </fill>
    </dxf>
    <dxf>
      <fill>
        <patternFill>
          <bgColor rgb="FFFFFAF0"/>
        </patternFill>
      </fill>
    </dxf>
    <dxf>
      <fill>
        <patternFill>
          <bgColor rgb="FFFFFAF0"/>
        </patternFill>
      </fill>
    </dxf>
    <dxf>
      <fill>
        <patternFill>
          <bgColor rgb="FFFFFAF0"/>
        </patternFill>
      </fill>
    </dxf>
    <dxf>
      <fill>
        <patternFill>
          <bgColor rgb="FFA7B5C5"/>
        </patternFill>
      </fill>
    </dxf>
    <dxf>
      <fill>
        <patternFill>
          <bgColor rgb="FFA7B5C5"/>
        </patternFill>
      </fill>
    </dxf>
    <dxf>
      <fill>
        <patternFill>
          <bgColor rgb="FFA7B5C5"/>
        </patternFill>
      </fill>
    </dxf>
    <dxf>
      <fill>
        <patternFill>
          <bgColor rgb="FFA7B5C5"/>
        </patternFill>
      </fill>
    </dxf>
    <dxf>
      <fill>
        <patternFill>
          <bgColor rgb="FFA7B5C5"/>
        </patternFill>
      </fill>
    </dxf>
    <dxf>
      <border>
        <right/>
      </border>
    </dxf>
    <dxf>
      <border>
        <right/>
      </border>
    </dxf>
    <dxf>
      <border>
        <right/>
      </border>
    </dxf>
    <dxf>
      <border>
        <right/>
      </border>
    </dxf>
    <dxf>
      <border>
        <right/>
      </border>
    </dxf>
    <dxf>
      <fill>
        <patternFill>
          <bgColor rgb="FFFFFAF0"/>
        </patternFill>
      </fill>
    </dxf>
    <dxf>
      <fill>
        <patternFill>
          <bgColor rgb="FFFFFAF0"/>
        </patternFill>
      </fill>
    </dxf>
    <dxf>
      <fill>
        <patternFill>
          <bgColor rgb="FFFFFAF0"/>
        </patternFill>
      </fill>
    </dxf>
    <dxf>
      <fill>
        <patternFill>
          <bgColor rgb="FFFFFAF0"/>
        </patternFill>
      </fill>
    </dxf>
    <dxf>
      <fill>
        <patternFill>
          <bgColor rgb="FFFFFAF0"/>
        </patternFill>
      </fill>
    </dxf>
    <dxf>
      <font>
        <b/>
      </font>
    </dxf>
    <dxf>
      <font>
        <b/>
      </font>
    </dxf>
    <dxf>
      <font>
        <b/>
      </font>
    </dxf>
    <dxf>
      <font>
        <b/>
      </font>
    </dxf>
    <dxf>
      <font>
        <b/>
      </font>
    </dxf>
    <dxf>
      <border>
        <left/>
        <top/>
      </border>
    </dxf>
    <dxf>
      <border>
        <left/>
        <top/>
      </border>
    </dxf>
    <dxf>
      <border>
        <left/>
        <top/>
      </border>
    </dxf>
    <dxf>
      <border>
        <left/>
        <top/>
      </border>
    </dxf>
    <dxf>
      <border>
        <left/>
        <top/>
      </border>
    </dxf>
    <dxf>
      <fill>
        <patternFill>
          <bgColor rgb="FFC7A48F"/>
        </patternFill>
      </fill>
    </dxf>
    <dxf>
      <fill>
        <patternFill>
          <bgColor rgb="FFC7A48F"/>
        </patternFill>
      </fill>
    </dxf>
    <dxf>
      <fill>
        <patternFill>
          <bgColor rgb="FFC7A48F"/>
        </patternFill>
      </fill>
    </dxf>
    <dxf>
      <fill>
        <patternFill>
          <bgColor rgb="FFC7A48F"/>
        </patternFill>
      </fill>
    </dxf>
    <dxf>
      <fill>
        <patternFill>
          <bgColor rgb="FFC7A48F"/>
        </patternFill>
      </fill>
    </dxf>
    <dxf>
      <alignment horizontal="center"/>
    </dxf>
    <dxf>
      <alignment horizontal="center"/>
    </dxf>
    <dxf>
      <alignment vertical="center"/>
    </dxf>
    <dxf>
      <alignment vertical="center"/>
    </dxf>
    <dxf>
      <fill>
        <patternFill>
          <bgColor rgb="FFFFFAF0"/>
        </patternFill>
      </fill>
    </dxf>
    <dxf>
      <fill>
        <patternFill>
          <bgColor rgb="FFFFFAF0"/>
        </patternFill>
      </fill>
    </dxf>
    <dxf>
      <fill>
        <patternFill>
          <bgColor rgb="FFFFFAF0"/>
        </patternFill>
      </fill>
    </dxf>
    <dxf>
      <font>
        <b/>
      </font>
    </dxf>
    <dxf>
      <font>
        <b/>
      </font>
    </dxf>
    <dxf>
      <font>
        <b/>
      </font>
    </dxf>
    <dxf>
      <font>
        <b/>
      </font>
    </dxf>
    <dxf>
      <font>
        <b/>
      </font>
    </dxf>
    <dxf>
      <fill>
        <patternFill>
          <bgColor rgb="FFFFF5EE"/>
        </patternFill>
      </fill>
    </dxf>
    <dxf>
      <fill>
        <patternFill>
          <bgColor rgb="FFFFF5EE"/>
        </patternFill>
      </fill>
    </dxf>
    <dxf>
      <fill>
        <patternFill>
          <bgColor rgb="FFFFF5EE"/>
        </patternFill>
      </fill>
    </dxf>
    <dxf>
      <fill>
        <patternFill>
          <bgColor rgb="FFFFF5EE"/>
        </patternFill>
      </fill>
    </dxf>
    <dxf>
      <fill>
        <patternFill>
          <bgColor rgb="FFFFF5EE"/>
        </patternFill>
      </fill>
    </dxf>
    <dxf>
      <border>
        <left/>
        <right/>
        <top/>
      </border>
    </dxf>
    <dxf>
      <border>
        <left/>
        <right/>
        <top/>
      </border>
    </dxf>
    <dxf>
      <border>
        <left/>
        <right/>
        <top/>
      </border>
    </dxf>
    <dxf>
      <border>
        <left/>
        <right/>
        <top/>
      </border>
    </dxf>
    <dxf>
      <border>
        <left/>
        <right/>
        <top/>
      </border>
    </dxf>
    <dxf>
      <font>
        <b val="0"/>
        <i val="0"/>
        <strike val="0"/>
        <condense val="0"/>
        <extend val="0"/>
        <outline val="0"/>
        <shadow val="0"/>
        <u val="none"/>
        <vertAlign val="baseline"/>
        <sz val="12"/>
        <color theme="1"/>
        <name val="Amasis MT Pro"/>
        <family val="1"/>
        <scheme val="none"/>
      </font>
      <fill>
        <patternFill patternType="solid">
          <fgColor indexed="64"/>
          <bgColor rgb="FFFFF5EE"/>
        </patternFill>
      </fill>
      <border diagonalUp="0" diagonalDown="0">
        <left/>
        <right/>
        <top style="hair">
          <color theme="0" tint="-0.34998626667073579"/>
        </top>
        <bottom/>
        <vertical/>
        <horizontal/>
      </border>
    </dxf>
    <dxf>
      <font>
        <b val="0"/>
        <i val="0"/>
        <strike val="0"/>
        <condense val="0"/>
        <extend val="0"/>
        <outline val="0"/>
        <shadow val="0"/>
        <u val="none"/>
        <vertAlign val="baseline"/>
        <sz val="12"/>
        <color theme="1"/>
        <name val="Amasis MT Pro"/>
        <family val="1"/>
        <scheme val="none"/>
      </font>
      <fill>
        <patternFill patternType="solid">
          <fgColor indexed="64"/>
          <bgColor rgb="FFFFF5EE"/>
        </patternFill>
      </fill>
      <border diagonalUp="0" diagonalDown="0">
        <left/>
        <right/>
        <top style="hair">
          <color theme="0" tint="-0.34998626667073579"/>
        </top>
        <bottom/>
        <vertical/>
        <horizontal/>
      </border>
    </dxf>
    <dxf>
      <font>
        <b val="0"/>
        <i val="0"/>
        <strike val="0"/>
        <condense val="0"/>
        <extend val="0"/>
        <outline val="0"/>
        <shadow val="0"/>
        <u val="none"/>
        <vertAlign val="baseline"/>
        <sz val="12"/>
        <color theme="1"/>
        <name val="Amasis MT Pro"/>
        <family val="1"/>
        <scheme val="none"/>
      </font>
      <fill>
        <patternFill patternType="solid">
          <fgColor indexed="64"/>
          <bgColor rgb="FFFFF5EE"/>
        </patternFill>
      </fill>
      <border diagonalUp="0" diagonalDown="0">
        <left/>
        <right/>
        <top style="hair">
          <color theme="0" tint="-0.34998626667073579"/>
        </top>
        <bottom/>
        <vertical/>
        <horizontal/>
      </border>
    </dxf>
    <dxf>
      <font>
        <b val="0"/>
        <i val="0"/>
        <strike val="0"/>
        <condense val="0"/>
        <extend val="0"/>
        <outline val="0"/>
        <shadow val="0"/>
        <u val="none"/>
        <vertAlign val="baseline"/>
        <sz val="12"/>
        <color theme="1"/>
        <name val="Amasis MT Pro"/>
        <family val="1"/>
        <scheme val="none"/>
      </font>
      <fill>
        <patternFill patternType="solid">
          <fgColor indexed="64"/>
          <bgColor rgb="FFFFF5EE"/>
        </patternFill>
      </fill>
      <border diagonalUp="0" diagonalDown="0">
        <left/>
        <right/>
        <top style="hair">
          <color theme="0" tint="-0.34998626667073579"/>
        </top>
        <bottom/>
        <vertical/>
        <horizontal/>
      </border>
    </dxf>
    <dxf>
      <font>
        <b val="0"/>
        <i val="0"/>
        <strike val="0"/>
        <condense val="0"/>
        <extend val="0"/>
        <outline val="0"/>
        <shadow val="0"/>
        <u val="none"/>
        <vertAlign val="baseline"/>
        <sz val="12"/>
        <color theme="1"/>
        <name val="Amasis MT Pro"/>
        <family val="1"/>
        <scheme val="none"/>
      </font>
      <numFmt numFmtId="19" formatCode="dd/mm/yyyy"/>
      <fill>
        <patternFill patternType="solid">
          <fgColor indexed="64"/>
          <bgColor rgb="FFFFF5EE"/>
        </patternFill>
      </fill>
      <border diagonalUp="0" diagonalDown="0">
        <left/>
        <right/>
        <top style="hair">
          <color theme="0" tint="-0.34998626667073579"/>
        </top>
        <bottom/>
        <vertical/>
        <horizontal/>
      </border>
    </dxf>
    <dxf>
      <border outline="0">
        <bottom style="hair">
          <color theme="0" tint="-0.34998626667073579"/>
        </bottom>
      </border>
    </dxf>
    <dxf>
      <font>
        <b val="0"/>
        <i val="0"/>
        <strike val="0"/>
        <condense val="0"/>
        <extend val="0"/>
        <outline val="0"/>
        <shadow val="0"/>
        <u val="none"/>
        <vertAlign val="baseline"/>
        <sz val="12"/>
        <color theme="1"/>
        <name val="Amasis MT Pro"/>
        <family val="1"/>
        <scheme val="none"/>
      </font>
      <fill>
        <patternFill patternType="solid">
          <fgColor indexed="64"/>
          <bgColor rgb="FFFFF5EE"/>
        </patternFill>
      </fill>
    </dxf>
    <dxf>
      <font>
        <b/>
        <i val="0"/>
        <strike val="0"/>
        <condense val="0"/>
        <extend val="0"/>
        <outline val="0"/>
        <shadow val="0"/>
        <u val="none"/>
        <vertAlign val="baseline"/>
        <sz val="12"/>
        <color theme="1"/>
        <name val="Amasis MT Pro"/>
        <family val="1"/>
        <scheme val="none"/>
      </font>
      <fill>
        <patternFill patternType="solid">
          <fgColor indexed="64"/>
          <bgColor rgb="FFFFF5EE"/>
        </patternFill>
      </fill>
    </dxf>
    <dxf>
      <fill>
        <patternFill>
          <bgColor rgb="FFCED7E8"/>
        </patternFill>
      </fill>
    </dxf>
    <dxf>
      <fill>
        <patternFill>
          <bgColor rgb="FFECC6C9"/>
        </patternFill>
      </fill>
    </dxf>
    <dxf>
      <fill>
        <patternFill>
          <bgColor rgb="FFC7A48F"/>
        </patternFill>
      </fill>
    </dxf>
    <dxf>
      <fill>
        <patternFill>
          <bgColor rgb="FFA7B5C5"/>
        </patternFill>
      </fill>
    </dxf>
    <dxf>
      <numFmt numFmtId="165" formatCode="&quot;€&quot;\ #,##0.00"/>
    </dxf>
    <dxf>
      <numFmt numFmtId="166" formatCode="&quot;$&quot;\ #,##0.00"/>
    </dxf>
    <dxf>
      <numFmt numFmtId="167" formatCode="&quot;£&quot;\ #,##0.00"/>
    </dxf>
    <dxf>
      <numFmt numFmtId="168" formatCode="&quot;¥&quot;\ #,##0"/>
    </dxf>
    <dxf>
      <numFmt numFmtId="167" formatCode="&quot;£&quot;\ #,##0.00"/>
    </dxf>
    <dxf>
      <numFmt numFmtId="168" formatCode="&quot;¥&quot;\ #,##0"/>
    </dxf>
    <dxf>
      <numFmt numFmtId="165" formatCode="&quot;€&quot;\ #,##0.00"/>
    </dxf>
    <dxf>
      <numFmt numFmtId="166" formatCode="&quot;$&quot;\ #,##0.00"/>
    </dxf>
    <dxf>
      <fill>
        <patternFill patternType="solid">
          <fgColor indexed="64"/>
          <bgColor rgb="FFFFF5EE"/>
        </patternFill>
      </fill>
    </dxf>
    <dxf>
      <font>
        <b/>
        <i val="0"/>
        <strike val="0"/>
        <condense val="0"/>
        <extend val="0"/>
        <outline val="0"/>
        <shadow val="0"/>
        <u val="none"/>
        <vertAlign val="baseline"/>
        <sz val="10"/>
        <color theme="0"/>
        <name val="Amasis MT Pro"/>
        <family val="1"/>
        <scheme val="none"/>
      </font>
      <fill>
        <patternFill patternType="solid">
          <fgColor indexed="64"/>
          <bgColor rgb="FF617891"/>
        </patternFill>
      </fill>
      <border diagonalUp="0" diagonalDown="0">
        <left/>
        <right/>
        <top style="thin">
          <color theme="4" tint="0.39997558519241921"/>
        </top>
        <bottom style="thin">
          <color theme="4" tint="0.39997558519241921"/>
        </bottom>
        <vertical/>
        <horizontal/>
      </border>
    </dxf>
    <dxf>
      <fill>
        <patternFill patternType="solid">
          <fgColor indexed="64"/>
          <bgColor rgb="FFFFF5EE"/>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617891"/>
        </patternFill>
      </fill>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C7A48F"/>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rgb="FFECC6C9"/>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0"/>
        <color theme="1"/>
        <name val="Amasis MT Pro"/>
        <family val="1"/>
        <scheme val="none"/>
      </font>
      <fill>
        <patternFill patternType="solid">
          <fgColor indexed="64"/>
          <bgColor theme="7" tint="0.79998168889431442"/>
        </patternFill>
      </fill>
      <alignment horizontal="center" vertical="bottom" textRotation="0" wrapText="0" indent="0" justifyLastLine="0" shrinkToFit="0" readingOrder="0"/>
    </dxf>
    <dxf>
      <fill>
        <patternFill>
          <bgColor rgb="FFFFF5EE"/>
        </patternFill>
      </fill>
    </dxf>
    <dxf>
      <fill>
        <patternFill>
          <bgColor rgb="FFFFF5EE"/>
        </patternFill>
      </fill>
    </dxf>
    <dxf>
      <fill>
        <patternFill>
          <bgColor rgb="FFFFF5EE"/>
        </patternFill>
      </fill>
    </dxf>
    <dxf>
      <numFmt numFmtId="165" formatCode="&quot;€&quot;\ #,##0.00"/>
    </dxf>
    <dxf>
      <numFmt numFmtId="166" formatCode="&quot;$&quot;\ #,##0.00"/>
    </dxf>
    <dxf>
      <numFmt numFmtId="167" formatCode="&quot;£&quot;\ #,##0.00"/>
    </dxf>
    <dxf>
      <numFmt numFmtId="168" formatCode="&quot;¥&quot;\ #,##0"/>
    </dxf>
    <dxf>
      <numFmt numFmtId="165" formatCode="&quot;€&quot;\ #,##0.00"/>
    </dxf>
    <dxf>
      <numFmt numFmtId="166" formatCode="&quot;$&quot;\ #,##0.00"/>
    </dxf>
    <dxf>
      <numFmt numFmtId="167" formatCode="&quot;£&quot;\ #,##0.00"/>
    </dxf>
    <dxf>
      <numFmt numFmtId="168" formatCode="&quot;¥&quot;\ #,##0"/>
    </dxf>
    <dxf>
      <border>
        <left/>
        <right/>
        <top style="hair">
          <color theme="0" tint="-0.34998626667073579"/>
        </top>
        <bottom style="hair">
          <color theme="0" tint="-0.34998626667073579"/>
        </bottom>
        <vertical/>
        <horizontal/>
      </border>
    </dxf>
    <dxf>
      <border>
        <left/>
        <right/>
        <top/>
        <bottom style="hair">
          <color theme="0" tint="-0.34998626667073579"/>
        </bottom>
        <vertical/>
        <horizontal/>
      </border>
    </dxf>
    <dxf>
      <font>
        <b/>
        <i val="0"/>
      </font>
      <fill>
        <patternFill>
          <bgColor rgb="FFE7D8C3"/>
        </patternFill>
      </fill>
    </dxf>
    <dxf>
      <fill>
        <patternFill>
          <bgColor rgb="FFFFFAF0"/>
        </patternFill>
      </fill>
    </dxf>
    <dxf>
      <fill>
        <patternFill>
          <bgColor rgb="FFF5F5F5"/>
        </patternFill>
      </fill>
    </dxf>
    <dxf>
      <border diagonalUp="0" diagonalDown="0">
        <left/>
        <right/>
        <top style="dashed">
          <color theme="0"/>
        </top>
        <bottom style="dashed">
          <color theme="0"/>
        </bottom>
        <vertical/>
        <horizontal/>
      </border>
    </dxf>
    <dxf>
      <border diagonalUp="0" diagonalDown="0">
        <left/>
        <right/>
        <top style="dashed">
          <color theme="0"/>
        </top>
        <bottom style="dashed">
          <color theme="0"/>
        </bottom>
        <vertical/>
        <horizontal/>
      </border>
    </dxf>
    <dxf>
      <border diagonalUp="0" diagonalDown="0">
        <left/>
        <right/>
        <top/>
        <bottom style="thick">
          <color rgb="FF617891"/>
        </bottom>
        <vertical/>
        <horizontal/>
      </border>
    </dxf>
    <dxf>
      <fill>
        <patternFill>
          <bgColor rgb="FFA7B5C5"/>
        </patternFill>
      </fill>
      <border diagonalUp="0" diagonalDown="0">
        <left/>
        <right/>
        <top/>
        <bottom/>
        <vertical/>
        <horizontal/>
      </border>
    </dxf>
    <dxf>
      <border diagonalUp="0" diagonalDown="0">
        <left/>
        <right/>
        <top style="dashed">
          <color theme="0"/>
        </top>
        <bottom style="dashed">
          <color theme="0"/>
        </bottom>
        <vertical/>
        <horizontal/>
      </border>
    </dxf>
    <dxf>
      <border diagonalUp="0" diagonalDown="0">
        <left/>
        <right/>
        <top style="dashed">
          <color theme="0"/>
        </top>
        <bottom style="dashed">
          <color theme="0"/>
        </bottom>
        <vertical/>
        <horizontal/>
      </border>
    </dxf>
    <dxf>
      <border diagonalUp="0" diagonalDown="0">
        <left/>
        <right/>
        <top/>
        <bottom style="thick">
          <color rgb="FF25344F"/>
        </bottom>
        <vertical/>
        <horizontal/>
      </border>
    </dxf>
    <dxf>
      <fill>
        <patternFill>
          <bgColor rgb="FFCED7E8"/>
        </patternFill>
      </fill>
    </dxf>
    <dxf>
      <border diagonalUp="0" diagonalDown="0">
        <left/>
        <right/>
        <top style="dashed">
          <color theme="0"/>
        </top>
        <bottom style="dashed">
          <color theme="0"/>
        </bottom>
        <vertical/>
        <horizontal/>
      </border>
    </dxf>
    <dxf>
      <border diagonalUp="0" diagonalDown="0">
        <left/>
        <right/>
        <top style="dashed">
          <color theme="0"/>
        </top>
        <bottom style="dashed">
          <color theme="0"/>
        </bottom>
        <vertical/>
        <horizontal/>
      </border>
    </dxf>
    <dxf>
      <border diagonalUp="0" diagonalDown="0">
        <left/>
        <right/>
        <top/>
        <bottom style="thick">
          <color rgb="FF74503A"/>
        </bottom>
        <vertical/>
        <horizontal/>
      </border>
    </dxf>
    <dxf>
      <fill>
        <patternFill>
          <bgColor rgb="FFECC6C9"/>
        </patternFill>
      </fill>
      <border diagonalUp="0" diagonalDown="0">
        <left/>
        <right/>
        <top/>
        <bottom/>
        <vertical/>
        <horizontal/>
      </border>
    </dxf>
    <dxf>
      <border diagonalUp="0" diagonalDown="0">
        <left/>
        <right/>
        <top style="dashed">
          <color theme="0"/>
        </top>
        <bottom style="dashed">
          <color theme="0"/>
        </bottom>
        <vertical/>
        <horizontal/>
      </border>
    </dxf>
    <dxf>
      <border diagonalUp="0" diagonalDown="0">
        <left/>
        <right/>
        <top style="dashed">
          <color theme="0"/>
        </top>
        <bottom style="dashed">
          <color theme="0"/>
        </bottom>
        <vertical/>
        <horizontal/>
      </border>
    </dxf>
    <dxf>
      <border diagonalUp="0" diagonalDown="0">
        <left/>
        <right/>
        <top/>
        <bottom style="thick">
          <color rgb="FF74503A"/>
        </bottom>
        <vertical/>
        <horizontal/>
      </border>
    </dxf>
    <dxf>
      <fill>
        <patternFill>
          <bgColor rgb="FFC7A48F"/>
        </patternFill>
      </fill>
      <border diagonalUp="0" diagonalDown="0">
        <left/>
        <right/>
        <top/>
        <bottom/>
        <vertical/>
        <horizontal/>
      </border>
    </dxf>
  </dxfs>
  <tableStyles count="7" defaultTableStyle="TableStyleMedium2" defaultPivotStyle="PivotStyleLight16">
    <tableStyle name="Debt Pivot" table="0" count="4" xr9:uid="{B9945359-5659-4209-80EC-C67ACC53831D}">
      <tableStyleElement type="wholeTable" dxfId="240"/>
      <tableStyleElement type="headerRow" dxfId="239"/>
      <tableStyleElement type="firstRowStripe" dxfId="238"/>
      <tableStyleElement type="secondRowStripe" dxfId="237"/>
    </tableStyle>
    <tableStyle name="Expense Pivot 1" table="0" count="4" xr9:uid="{3A123FF8-642B-40CD-98D5-AFC51A231371}">
      <tableStyleElement type="wholeTable" dxfId="236"/>
      <tableStyleElement type="headerRow" dxfId="235"/>
      <tableStyleElement type="firstRowStripe" dxfId="234"/>
      <tableStyleElement type="secondRowStripe" dxfId="233"/>
    </tableStyle>
    <tableStyle name="Income Pivot" table="0" count="4" xr9:uid="{367EC7A3-E7C5-4B59-A118-6ACE7FC10B36}">
      <tableStyleElement type="wholeTable" dxfId="232"/>
      <tableStyleElement type="headerRow" dxfId="231"/>
      <tableStyleElement type="firstRowStripe" dxfId="230"/>
      <tableStyleElement type="secondRowStripe" dxfId="229"/>
    </tableStyle>
    <tableStyle name="PivotTable Style 2" table="0" count="0" xr9:uid="{41C8C914-BCC6-4CA8-8203-B52F5883E3B4}"/>
    <tableStyle name="Savings Pivot" table="0" count="4" xr9:uid="{F14D05C2-0184-4273-9CA7-EB942CF66E76}">
      <tableStyleElement type="wholeTable" dxfId="228"/>
      <tableStyleElement type="headerRow" dxfId="227"/>
      <tableStyleElement type="firstRowStripe" dxfId="226"/>
      <tableStyleElement type="secondRowStripe" dxfId="225"/>
    </tableStyle>
    <tableStyle name="Slicer Month" pivot="0" table="0" count="2" xr9:uid="{EC82392A-2E98-49D8-8D93-FDD7ABA2F076}">
      <tableStyleElement type="wholeTable" dxfId="224"/>
    </tableStyle>
    <tableStyle name="Transaction_style" pivot="0" count="4" xr9:uid="{83310DE7-7643-494F-80A6-D8F8C6878185}">
      <tableStyleElement type="wholeTable" dxfId="223"/>
      <tableStyleElement type="headerRow" dxfId="222"/>
      <tableStyleElement type="firstRowStripe" dxfId="221"/>
      <tableStyleElement type="secondRowStripe" dxfId="220"/>
    </tableStyle>
  </tableStyles>
  <colors>
    <mruColors>
      <color rgb="FF632024"/>
      <color rgb="FFBD3D46"/>
      <color rgb="FFF5F5F5"/>
      <color rgb="FFA7B5C5"/>
      <color rgb="FFC7A48F"/>
      <color rgb="FFECC6C9"/>
      <color rgb="FFCED7E8"/>
      <color rgb="FF617891"/>
      <color rgb="FF74503A"/>
      <color rgb="FF25344F"/>
    </mruColors>
  </colors>
  <extLst>
    <ext xmlns:x14="http://schemas.microsoft.com/office/spreadsheetml/2009/9/main" uri="{46F421CA-312F-682f-3DD2-61675219B42D}">
      <x14:dxfs count="1">
        <dxf>
          <fill>
            <patternFill>
              <bgColor theme="0" tint="-0.499984740745262"/>
            </patternFill>
          </fill>
        </dxf>
      </x14:dxfs>
    </ext>
    <ext xmlns:x14="http://schemas.microsoft.com/office/spreadsheetml/2009/9/main" uri="{EB79DEF2-80B8-43e5-95BD-54CBDDF9020C}">
      <x14:slicerStyles defaultSlicerStyle="SlicerStyleLight1">
        <x14:slicerStyle name="Slicer Month">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pivotTable" Target="pivotTables/pivotTable9.xml"/><Relationship Id="rId47" Type="http://schemas.openxmlformats.org/officeDocument/2006/relationships/pivotTable" Target="pivotTables/pivotTable14.xml"/><Relationship Id="rId63" Type="http://schemas.openxmlformats.org/officeDocument/2006/relationships/customXml" Target="../customXml/item7.xml"/><Relationship Id="rId68" Type="http://schemas.openxmlformats.org/officeDocument/2006/relationships/customXml" Target="../customXml/item12.xml"/><Relationship Id="rId84" Type="http://schemas.openxmlformats.org/officeDocument/2006/relationships/customXml" Target="../customXml/item28.xml"/><Relationship Id="rId89" Type="http://schemas.openxmlformats.org/officeDocument/2006/relationships/customXml" Target="../customXml/item33.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pivotCacheDefinition" Target="pivotCache/pivotCacheDefinition26.xml"/><Relationship Id="rId37" Type="http://schemas.openxmlformats.org/officeDocument/2006/relationships/pivotTable" Target="pivotTables/pivotTable4.xml"/><Relationship Id="rId53" Type="http://schemas.openxmlformats.org/officeDocument/2006/relationships/powerPivotData" Target="model/item.data"/><Relationship Id="rId58" Type="http://schemas.openxmlformats.org/officeDocument/2006/relationships/customXml" Target="../customXml/item2.xml"/><Relationship Id="rId74" Type="http://schemas.openxmlformats.org/officeDocument/2006/relationships/customXml" Target="../customXml/item18.xml"/><Relationship Id="rId79" Type="http://schemas.openxmlformats.org/officeDocument/2006/relationships/customXml" Target="../customXml/item23.xml"/><Relationship Id="rId5" Type="http://schemas.openxmlformats.org/officeDocument/2006/relationships/worksheet" Target="worksheets/sheet5.xml"/><Relationship Id="rId90" Type="http://schemas.openxmlformats.org/officeDocument/2006/relationships/customXml" Target="../customXml/item34.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pivotTable" Target="pivotTables/pivotTable10.xml"/><Relationship Id="rId48" Type="http://schemas.openxmlformats.org/officeDocument/2006/relationships/theme" Target="theme/theme1.xml"/><Relationship Id="rId64" Type="http://schemas.openxmlformats.org/officeDocument/2006/relationships/customXml" Target="../customXml/item8.xml"/><Relationship Id="rId69" Type="http://schemas.openxmlformats.org/officeDocument/2006/relationships/customXml" Target="../customXml/item13.xml"/><Relationship Id="rId8" Type="http://schemas.openxmlformats.org/officeDocument/2006/relationships/pivotCacheDefinition" Target="pivotCache/pivotCacheDefinition3.xml"/><Relationship Id="rId51" Type="http://schemas.openxmlformats.org/officeDocument/2006/relationships/sharedStrings" Target="sharedStrings.xml"/><Relationship Id="rId72" Type="http://schemas.openxmlformats.org/officeDocument/2006/relationships/customXml" Target="../customXml/item16.xml"/><Relationship Id="rId80" Type="http://schemas.openxmlformats.org/officeDocument/2006/relationships/customXml" Target="../customXml/item24.xml"/><Relationship Id="rId85" Type="http://schemas.openxmlformats.org/officeDocument/2006/relationships/customXml" Target="../customXml/item29.xml"/><Relationship Id="rId93"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19.xml"/><Relationship Id="rId33" Type="http://schemas.openxmlformats.org/officeDocument/2006/relationships/pivotCacheDefinition" Target="pivotCache/pivotCacheDefinition27.xml"/><Relationship Id="rId38" Type="http://schemas.openxmlformats.org/officeDocument/2006/relationships/pivotTable" Target="pivotTables/pivotTable5.xml"/><Relationship Id="rId46" Type="http://schemas.openxmlformats.org/officeDocument/2006/relationships/pivotTable" Target="pivotTables/pivotTable13.xml"/><Relationship Id="rId59" Type="http://schemas.openxmlformats.org/officeDocument/2006/relationships/customXml" Target="../customXml/item3.xml"/><Relationship Id="rId67" Type="http://schemas.openxmlformats.org/officeDocument/2006/relationships/customXml" Target="../customXml/item11.xml"/><Relationship Id="rId20" Type="http://schemas.openxmlformats.org/officeDocument/2006/relationships/pivotCacheDefinition" Target="pivotCache/pivotCacheDefinition14.xml"/><Relationship Id="rId41" Type="http://schemas.openxmlformats.org/officeDocument/2006/relationships/pivotTable" Target="pivotTables/pivotTable8.xml"/><Relationship Id="rId54" Type="http://schemas.microsoft.com/office/2017/10/relationships/person" Target="persons/person.xml"/><Relationship Id="rId62" Type="http://schemas.openxmlformats.org/officeDocument/2006/relationships/customXml" Target="../customXml/item6.xml"/><Relationship Id="rId70" Type="http://schemas.openxmlformats.org/officeDocument/2006/relationships/customXml" Target="../customXml/item14.xml"/><Relationship Id="rId75" Type="http://schemas.openxmlformats.org/officeDocument/2006/relationships/customXml" Target="../customXml/item19.xml"/><Relationship Id="rId83" Type="http://schemas.openxmlformats.org/officeDocument/2006/relationships/customXml" Target="../customXml/item27.xml"/><Relationship Id="rId88" Type="http://schemas.openxmlformats.org/officeDocument/2006/relationships/customXml" Target="../customXml/item32.xml"/><Relationship Id="rId91"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pivotTable" Target="pivotTables/pivotTable3.xml"/><Relationship Id="rId49" Type="http://schemas.openxmlformats.org/officeDocument/2006/relationships/connections" Target="connections.xml"/><Relationship Id="rId57" Type="http://schemas.openxmlformats.org/officeDocument/2006/relationships/customXml" Target="../customXml/item1.xml"/><Relationship Id="rId10" Type="http://schemas.openxmlformats.org/officeDocument/2006/relationships/pivotCacheDefinition" Target="pivotCache/pivotCacheDefinition5.xml"/><Relationship Id="rId31" Type="http://schemas.openxmlformats.org/officeDocument/2006/relationships/pivotCacheDefinition" Target="pivotCache/pivotCacheDefinition25.xml"/><Relationship Id="rId44" Type="http://schemas.openxmlformats.org/officeDocument/2006/relationships/pivotTable" Target="pivotTables/pivotTable11.xml"/><Relationship Id="rId52" Type="http://schemas.openxmlformats.org/officeDocument/2006/relationships/sheetMetadata" Target="metadata.xml"/><Relationship Id="rId60" Type="http://schemas.openxmlformats.org/officeDocument/2006/relationships/customXml" Target="../customXml/item4.xml"/><Relationship Id="rId65" Type="http://schemas.openxmlformats.org/officeDocument/2006/relationships/customXml" Target="../customXml/item9.xml"/><Relationship Id="rId73" Type="http://schemas.openxmlformats.org/officeDocument/2006/relationships/customXml" Target="../customXml/item17.xml"/><Relationship Id="rId78" Type="http://schemas.openxmlformats.org/officeDocument/2006/relationships/customXml" Target="../customXml/item22.xml"/><Relationship Id="rId81" Type="http://schemas.openxmlformats.org/officeDocument/2006/relationships/customXml" Target="../customXml/item25.xml"/><Relationship Id="rId86" Type="http://schemas.openxmlformats.org/officeDocument/2006/relationships/customXml" Target="../customXml/item30.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pivotTable" Target="pivotTables/pivotTable6.xml"/><Relationship Id="rId34" Type="http://schemas.openxmlformats.org/officeDocument/2006/relationships/pivotTable" Target="pivotTables/pivotTable1.xml"/><Relationship Id="rId50" Type="http://schemas.openxmlformats.org/officeDocument/2006/relationships/styles" Target="styles.xml"/><Relationship Id="rId55" Type="http://schemas.microsoft.com/office/2022/11/relationships/FeaturePropertyBag" Target="featurePropertyBag/featurePropertyBag.xml"/><Relationship Id="rId76" Type="http://schemas.openxmlformats.org/officeDocument/2006/relationships/customXml" Target="../customXml/item20.xml"/><Relationship Id="rId7" Type="http://schemas.openxmlformats.org/officeDocument/2006/relationships/pivotCacheDefinition" Target="pivotCache/pivotCacheDefinition2.xml"/><Relationship Id="rId71" Type="http://schemas.openxmlformats.org/officeDocument/2006/relationships/customXml" Target="../customXml/item15.xml"/><Relationship Id="rId92"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openxmlformats.org/officeDocument/2006/relationships/pivotTable" Target="pivotTables/pivotTable7.xml"/><Relationship Id="rId45" Type="http://schemas.openxmlformats.org/officeDocument/2006/relationships/pivotTable" Target="pivotTables/pivotTable12.xml"/><Relationship Id="rId66" Type="http://schemas.openxmlformats.org/officeDocument/2006/relationships/customXml" Target="../customXml/item10.xml"/><Relationship Id="rId87" Type="http://schemas.openxmlformats.org/officeDocument/2006/relationships/customXml" Target="../customXml/item31.xml"/><Relationship Id="rId61" Type="http://schemas.openxmlformats.org/officeDocument/2006/relationships/customXml" Target="../customXml/item5.xml"/><Relationship Id="rId82" Type="http://schemas.openxmlformats.org/officeDocument/2006/relationships/customXml" Target="../customXml/item26.xml"/><Relationship Id="rId19" Type="http://schemas.microsoft.com/office/2007/relationships/slicerCache" Target="slicerCaches/slicerCache1.xml"/><Relationship Id="rId14" Type="http://schemas.openxmlformats.org/officeDocument/2006/relationships/pivotCacheDefinition" Target="pivotCache/pivotCacheDefinition9.xml"/><Relationship Id="rId30" Type="http://schemas.openxmlformats.org/officeDocument/2006/relationships/pivotCacheDefinition" Target="pivotCache/pivotCacheDefinition24.xml"/><Relationship Id="rId35" Type="http://schemas.openxmlformats.org/officeDocument/2006/relationships/pivotTable" Target="pivotTables/pivotTable2.xml"/><Relationship Id="rId56" Type="http://schemas.openxmlformats.org/officeDocument/2006/relationships/calcChain" Target="calcChain.xml"/><Relationship Id="rId77"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8.xml"/><Relationship Id="rId1" Type="http://schemas.microsoft.com/office/2011/relationships/chartStyle" Target="style18.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9.xml"/><Relationship Id="rId1" Type="http://schemas.microsoft.com/office/2011/relationships/chartStyle" Target="style19.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20.xml"/><Relationship Id="rId1" Type="http://schemas.microsoft.com/office/2011/relationships/chartStyle" Target="style20.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1.xml"/><Relationship Id="rId1" Type="http://schemas.microsoft.com/office/2011/relationships/chartStyle" Target="style21.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22.xml"/><Relationship Id="rId1" Type="http://schemas.microsoft.com/office/2011/relationships/chartStyle" Target="style22.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22134453665102E-2"/>
          <c:y val="2.7869155318268338E-2"/>
          <c:w val="0.92977865546334892"/>
          <c:h val="0.96917064200738112"/>
        </c:manualLayout>
      </c:layout>
      <c:barChart>
        <c:barDir val="bar"/>
        <c:grouping val="stacked"/>
        <c:varyColors val="0"/>
        <c:ser>
          <c:idx val="0"/>
          <c:order val="0"/>
          <c:tx>
            <c:strRef>
              <c:f>Backend!$S$4</c:f>
              <c:strCache>
                <c:ptCount val="1"/>
                <c:pt idx="0">
                  <c:v>Active</c:v>
                </c:pt>
              </c:strCache>
            </c:strRef>
          </c:tx>
          <c:spPr>
            <a:solidFill>
              <a:srgbClr val="25344F"/>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Backend!$T$4</c:f>
              <c:numCache>
                <c:formatCode>General</c:formatCode>
                <c:ptCount val="1"/>
                <c:pt idx="0">
                  <c:v>18250</c:v>
                </c:pt>
              </c:numCache>
            </c:numRef>
          </c:val>
          <c:extLst>
            <c:ext xmlns:c16="http://schemas.microsoft.com/office/drawing/2014/chart" uri="{C3380CC4-5D6E-409C-BE32-E72D297353CC}">
              <c16:uniqueId val="{00000000-2D94-4F22-B980-E13EE22F9024}"/>
            </c:ext>
          </c:extLst>
        </c:ser>
        <c:ser>
          <c:idx val="1"/>
          <c:order val="1"/>
          <c:tx>
            <c:strRef>
              <c:f>Backend!$S$5</c:f>
              <c:strCache>
                <c:ptCount val="1"/>
                <c:pt idx="0">
                  <c:v>Passive</c:v>
                </c:pt>
              </c:strCache>
            </c:strRef>
          </c:tx>
          <c:spPr>
            <a:solidFill>
              <a:srgbClr val="5A79B2"/>
            </a:solidFill>
            <a:ln>
              <a:noFill/>
            </a:ln>
            <a:effectLst/>
          </c:spPr>
          <c:invertIfNegative val="0"/>
          <c:dLbls>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Backend!$T$5</c:f>
              <c:numCache>
                <c:formatCode>General</c:formatCode>
                <c:ptCount val="1"/>
                <c:pt idx="0">
                  <c:v>11640</c:v>
                </c:pt>
              </c:numCache>
            </c:numRef>
          </c:val>
          <c:extLst>
            <c:ext xmlns:c16="http://schemas.microsoft.com/office/drawing/2014/chart" uri="{C3380CC4-5D6E-409C-BE32-E72D297353CC}">
              <c16:uniqueId val="{00000001-2D94-4F22-B980-E13EE22F9024}"/>
            </c:ext>
          </c:extLst>
        </c:ser>
        <c:dLbls>
          <c:showLegendKey val="0"/>
          <c:showVal val="0"/>
          <c:showCatName val="0"/>
          <c:showSerName val="0"/>
          <c:showPercent val="0"/>
          <c:showBubbleSize val="0"/>
        </c:dLbls>
        <c:gapWidth val="100"/>
        <c:overlap val="100"/>
        <c:axId val="812313440"/>
        <c:axId val="812313920"/>
      </c:barChart>
      <c:catAx>
        <c:axId val="81231344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812313920"/>
        <c:crosses val="autoZero"/>
        <c:auto val="1"/>
        <c:lblAlgn val="ctr"/>
        <c:lblOffset val="100"/>
        <c:noMultiLvlLbl val="0"/>
      </c:catAx>
      <c:valAx>
        <c:axId val="812313920"/>
        <c:scaling>
          <c:orientation val="minMax"/>
        </c:scaling>
        <c:delete val="1"/>
        <c:axPos val="b"/>
        <c:numFmt formatCode="General" sourceLinked="1"/>
        <c:majorTickMark val="none"/>
        <c:minorTickMark val="none"/>
        <c:tickLblPos val="nextTo"/>
        <c:crossAx val="812313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02415653865403E-2"/>
          <c:y val="2.5974025974025976E-2"/>
          <c:w val="0.89313906111535435"/>
          <c:h val="0.94579564489112233"/>
        </c:manualLayout>
      </c:layout>
      <c:areaChart>
        <c:grouping val="standard"/>
        <c:varyColors val="0"/>
        <c:ser>
          <c:idx val="1"/>
          <c:order val="1"/>
          <c:tx>
            <c:strRef>
              <c:f>Budget!$G$28:$R$28</c:f>
              <c:strCache>
                <c:ptCount val="12"/>
                <c:pt idx="0">
                  <c:v>3420</c:v>
                </c:pt>
                <c:pt idx="1">
                  <c:v>4870</c:v>
                </c:pt>
                <c:pt idx="2">
                  <c:v>3420</c:v>
                </c:pt>
                <c:pt idx="3">
                  <c:v>3420</c:v>
                </c:pt>
                <c:pt idx="4">
                  <c:v>3420</c:v>
                </c:pt>
                <c:pt idx="5">
                  <c:v>1620</c:v>
                </c:pt>
                <c:pt idx="6">
                  <c:v>1620</c:v>
                </c:pt>
                <c:pt idx="7">
                  <c:v>1620</c:v>
                </c:pt>
                <c:pt idx="8">
                  <c:v>1620</c:v>
                </c:pt>
                <c:pt idx="9">
                  <c:v>1620</c:v>
                </c:pt>
                <c:pt idx="10">
                  <c:v>1620</c:v>
                </c:pt>
                <c:pt idx="11">
                  <c:v>1620</c:v>
                </c:pt>
              </c:strCache>
            </c:strRef>
          </c:tx>
          <c:spPr>
            <a:solidFill>
              <a:srgbClr val="6380B5">
                <a:alpha val="60000"/>
              </a:srgb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val>
            <c:numRef>
              <c:f>Budget!$G$28:$R$28</c:f>
              <c:numCache>
                <c:formatCode>General</c:formatCode>
                <c:ptCount val="12"/>
                <c:pt idx="0">
                  <c:v>3420</c:v>
                </c:pt>
                <c:pt idx="1">
                  <c:v>4870</c:v>
                </c:pt>
                <c:pt idx="2">
                  <c:v>3420</c:v>
                </c:pt>
                <c:pt idx="3">
                  <c:v>3420</c:v>
                </c:pt>
                <c:pt idx="4">
                  <c:v>3420</c:v>
                </c:pt>
                <c:pt idx="5">
                  <c:v>1620</c:v>
                </c:pt>
                <c:pt idx="6">
                  <c:v>1620</c:v>
                </c:pt>
                <c:pt idx="7">
                  <c:v>1620</c:v>
                </c:pt>
                <c:pt idx="8">
                  <c:v>1620</c:v>
                </c:pt>
                <c:pt idx="9">
                  <c:v>1620</c:v>
                </c:pt>
                <c:pt idx="10">
                  <c:v>1620</c:v>
                </c:pt>
                <c:pt idx="11">
                  <c:v>1620</c:v>
                </c:pt>
              </c:numCache>
            </c:numRef>
          </c:val>
          <c:extLst>
            <c:ext xmlns:c16="http://schemas.microsoft.com/office/drawing/2014/chart" uri="{C3380CC4-5D6E-409C-BE32-E72D297353CC}">
              <c16:uniqueId val="{00000002-FE9A-4D2C-BD00-09F364A74066}"/>
            </c:ext>
          </c:extLst>
        </c:ser>
        <c:dLbls>
          <c:showLegendKey val="0"/>
          <c:showVal val="0"/>
          <c:showCatName val="0"/>
          <c:showSerName val="0"/>
          <c:showPercent val="0"/>
          <c:showBubbleSize val="0"/>
        </c:dLbls>
        <c:axId val="676055152"/>
        <c:axId val="676058992"/>
      </c:areaChart>
      <c:lineChart>
        <c:grouping val="standard"/>
        <c:varyColors val="0"/>
        <c:ser>
          <c:idx val="0"/>
          <c:order val="0"/>
          <c:spPr>
            <a:ln w="28575" cap="rnd">
              <a:solidFill>
                <a:srgbClr val="25344F"/>
              </a:solidFill>
              <a:round/>
            </a:ln>
            <a:effectLst/>
          </c:spPr>
          <c:marker>
            <c:symbol val="none"/>
          </c:marker>
          <c:cat>
            <c:strRef>
              <c:f>Budget!$G$17:$R$17</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Budget!$G$28:$R$28</c:f>
              <c:numCache>
                <c:formatCode>General</c:formatCode>
                <c:ptCount val="12"/>
                <c:pt idx="0">
                  <c:v>3420</c:v>
                </c:pt>
                <c:pt idx="1">
                  <c:v>4870</c:v>
                </c:pt>
                <c:pt idx="2">
                  <c:v>3420</c:v>
                </c:pt>
                <c:pt idx="3">
                  <c:v>3420</c:v>
                </c:pt>
                <c:pt idx="4">
                  <c:v>3420</c:v>
                </c:pt>
                <c:pt idx="5">
                  <c:v>1620</c:v>
                </c:pt>
                <c:pt idx="6">
                  <c:v>1620</c:v>
                </c:pt>
                <c:pt idx="7">
                  <c:v>1620</c:v>
                </c:pt>
                <c:pt idx="8">
                  <c:v>1620</c:v>
                </c:pt>
                <c:pt idx="9">
                  <c:v>1620</c:v>
                </c:pt>
                <c:pt idx="10">
                  <c:v>1620</c:v>
                </c:pt>
                <c:pt idx="11">
                  <c:v>1620</c:v>
                </c:pt>
              </c:numCache>
            </c:numRef>
          </c:val>
          <c:smooth val="1"/>
          <c:extLst>
            <c:ext xmlns:c16="http://schemas.microsoft.com/office/drawing/2014/chart" uri="{C3380CC4-5D6E-409C-BE32-E72D297353CC}">
              <c16:uniqueId val="{00000000-FE9A-4D2C-BD00-09F364A74066}"/>
            </c:ext>
          </c:extLst>
        </c:ser>
        <c:dLbls>
          <c:showLegendKey val="0"/>
          <c:showVal val="0"/>
          <c:showCatName val="0"/>
          <c:showSerName val="0"/>
          <c:showPercent val="0"/>
          <c:showBubbleSize val="0"/>
        </c:dLbls>
        <c:marker val="1"/>
        <c:smooth val="0"/>
        <c:axId val="676055152"/>
        <c:axId val="676058992"/>
      </c:lineChart>
      <c:catAx>
        <c:axId val="676055152"/>
        <c:scaling>
          <c:orientation val="minMax"/>
        </c:scaling>
        <c:delete val="1"/>
        <c:axPos val="b"/>
        <c:numFmt formatCode="General" sourceLinked="1"/>
        <c:majorTickMark val="none"/>
        <c:minorTickMark val="none"/>
        <c:tickLblPos val="nextTo"/>
        <c:crossAx val="676058992"/>
        <c:crosses val="autoZero"/>
        <c:auto val="1"/>
        <c:lblAlgn val="ctr"/>
        <c:lblOffset val="100"/>
        <c:noMultiLvlLbl val="0"/>
      </c:catAx>
      <c:valAx>
        <c:axId val="67605899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6055152"/>
        <c:crosses val="autoZero"/>
        <c:crossBetween val="between"/>
      </c:valAx>
      <c:spPr>
        <a:noFill/>
        <a:ln w="25400">
          <a:noFill/>
        </a:ln>
        <a:effectLst>
          <a:softEdge rad="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096365024419"/>
          <c:y val="5.0925925925925923E-2"/>
          <c:w val="0.52672795708839759"/>
          <c:h val="0.88222773523172615"/>
        </c:manualLayout>
      </c:layout>
      <c:barChart>
        <c:barDir val="bar"/>
        <c:grouping val="clustered"/>
        <c:varyColors val="0"/>
        <c:ser>
          <c:idx val="0"/>
          <c:order val="0"/>
          <c:spPr>
            <a:solidFill>
              <a:srgbClr val="2534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Budget!$E$18:$E$27</c:f>
              <c:strCache>
                <c:ptCount val="5"/>
                <c:pt idx="0">
                  <c:v>Student Job</c:v>
                </c:pt>
                <c:pt idx="1">
                  <c:v>Internship</c:v>
                </c:pt>
                <c:pt idx="2">
                  <c:v>Family Support</c:v>
                </c:pt>
                <c:pt idx="3">
                  <c:v>CAF</c:v>
                </c:pt>
                <c:pt idx="4">
                  <c:v>Side Gigs</c:v>
                </c:pt>
              </c:strCache>
            </c:strRef>
          </c:cat>
          <c:val>
            <c:numRef>
              <c:f>Budget!$S$18:$S$27</c:f>
              <c:numCache>
                <c:formatCode>General</c:formatCode>
                <c:ptCount val="10"/>
                <c:pt idx="0">
                  <c:v>4200</c:v>
                </c:pt>
                <c:pt idx="1">
                  <c:v>12000</c:v>
                </c:pt>
                <c:pt idx="2">
                  <c:v>240</c:v>
                </c:pt>
                <c:pt idx="3">
                  <c:v>11400</c:v>
                </c:pt>
                <c:pt idx="4">
                  <c:v>2050</c:v>
                </c:pt>
                <c:pt idx="5">
                  <c:v>0</c:v>
                </c:pt>
                <c:pt idx="6">
                  <c:v>0</c:v>
                </c:pt>
                <c:pt idx="7">
                  <c:v>0</c:v>
                </c:pt>
                <c:pt idx="8">
                  <c:v>0</c:v>
                </c:pt>
                <c:pt idx="9">
                  <c:v>0</c:v>
                </c:pt>
              </c:numCache>
            </c:numRef>
          </c:val>
          <c:extLst>
            <c:ext xmlns:c16="http://schemas.microsoft.com/office/drawing/2014/chart" uri="{C3380CC4-5D6E-409C-BE32-E72D297353CC}">
              <c16:uniqueId val="{00000000-C181-45C7-938D-BB7B3010296C}"/>
            </c:ext>
          </c:extLst>
        </c:ser>
        <c:dLbls>
          <c:dLblPos val="outEnd"/>
          <c:showLegendKey val="0"/>
          <c:showVal val="1"/>
          <c:showCatName val="0"/>
          <c:showSerName val="0"/>
          <c:showPercent val="0"/>
          <c:showBubbleSize val="0"/>
        </c:dLbls>
        <c:gapWidth val="182"/>
        <c:axId val="725136704"/>
        <c:axId val="725151104"/>
      </c:barChart>
      <c:catAx>
        <c:axId val="725136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masis MT Pro" panose="02040504050005020304" pitchFamily="18" charset="0"/>
                <a:ea typeface="+mn-ea"/>
                <a:cs typeface="+mn-cs"/>
              </a:defRPr>
            </a:pPr>
            <a:endParaRPr lang="en-US"/>
          </a:p>
        </c:txPr>
        <c:crossAx val="725151104"/>
        <c:crosses val="autoZero"/>
        <c:auto val="1"/>
        <c:lblAlgn val="ctr"/>
        <c:lblOffset val="100"/>
        <c:noMultiLvlLbl val="0"/>
      </c:catAx>
      <c:valAx>
        <c:axId val="725151104"/>
        <c:scaling>
          <c:orientation val="minMax"/>
        </c:scaling>
        <c:delete val="1"/>
        <c:axPos val="b"/>
        <c:numFmt formatCode="General" sourceLinked="1"/>
        <c:majorTickMark val="none"/>
        <c:minorTickMark val="none"/>
        <c:tickLblPos val="nextTo"/>
        <c:crossAx val="725136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365504012669147"/>
          <c:w val="1"/>
          <c:h val="0.80799995602003283"/>
        </c:manualLayout>
      </c:layout>
      <c:barChart>
        <c:barDir val="bar"/>
        <c:grouping val="percentStacked"/>
        <c:varyColors val="0"/>
        <c:ser>
          <c:idx val="0"/>
          <c:order val="0"/>
          <c:tx>
            <c:strRef>
              <c:f>Backend!$S$18</c:f>
              <c:strCache>
                <c:ptCount val="1"/>
                <c:pt idx="0">
                  <c:v>Need</c:v>
                </c:pt>
              </c:strCache>
            </c:strRef>
          </c:tx>
          <c:spPr>
            <a:solidFill>
              <a:srgbClr val="632024"/>
            </a:solidFill>
            <a:ln>
              <a:noFill/>
            </a:ln>
            <a:effectLst/>
          </c:spPr>
          <c:invertIfNegative val="0"/>
          <c:dLbls>
            <c:dLbl>
              <c:idx val="0"/>
              <c:dLblPos val="inBase"/>
              <c:showLegendKey val="0"/>
              <c:showVal val="1"/>
              <c:showCatName val="0"/>
              <c:showSerName val="1"/>
              <c:showPercent val="0"/>
              <c:showBubbleSize val="0"/>
              <c:separator>
</c:separator>
              <c:extLst>
                <c:ext xmlns:c15="http://schemas.microsoft.com/office/drawing/2012/chart" uri="{CE6537A1-D6FC-4f65-9D91-7224C49458BB}">
                  <c15:layout>
                    <c:manualLayout>
                      <c:w val="0.24087290282921267"/>
                      <c:h val="0.1591160664002621"/>
                    </c:manualLayout>
                  </c15:layout>
                </c:ext>
                <c:ext xmlns:c16="http://schemas.microsoft.com/office/drawing/2014/chart" uri="{C3380CC4-5D6E-409C-BE32-E72D297353CC}">
                  <c16:uniqueId val="{00000002-21CC-4CDA-87FC-EDEB8524DED5}"/>
                </c:ext>
              </c:extLst>
            </c:dLbl>
            <c:spPr>
              <a:noFill/>
              <a:ln>
                <a:noFill/>
              </a:ln>
              <a:effectLst/>
            </c:spPr>
            <c:txPr>
              <a:bodyPr rot="0" spcFirstLastPara="1" vertOverflow="overflow" horzOverflow="overflow" vert="horz" wrap="square" lIns="38100" tIns="19050" rIns="38100" bIns="19050" anchor="ctr" anchorCtr="0">
                <a:no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Backend!$T$18</c:f>
              <c:numCache>
                <c:formatCode>General</c:formatCode>
                <c:ptCount val="1"/>
                <c:pt idx="0">
                  <c:v>9936</c:v>
                </c:pt>
              </c:numCache>
            </c:numRef>
          </c:val>
          <c:extLst>
            <c:ext xmlns:c16="http://schemas.microsoft.com/office/drawing/2014/chart" uri="{C3380CC4-5D6E-409C-BE32-E72D297353CC}">
              <c16:uniqueId val="{00000000-21CC-4CDA-87FC-EDEB8524DED5}"/>
            </c:ext>
          </c:extLst>
        </c:ser>
        <c:ser>
          <c:idx val="1"/>
          <c:order val="1"/>
          <c:tx>
            <c:strRef>
              <c:f>Backend!$S$19</c:f>
              <c:strCache>
                <c:ptCount val="1"/>
                <c:pt idx="0">
                  <c:v>Want</c:v>
                </c:pt>
              </c:strCache>
            </c:strRef>
          </c:tx>
          <c:spPr>
            <a:solidFill>
              <a:srgbClr val="D78389"/>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val>
            <c:numRef>
              <c:f>Backend!$T$19</c:f>
              <c:numCache>
                <c:formatCode>General</c:formatCode>
                <c:ptCount val="1"/>
                <c:pt idx="0">
                  <c:v>636</c:v>
                </c:pt>
              </c:numCache>
            </c:numRef>
          </c:val>
          <c:extLst>
            <c:ext xmlns:c16="http://schemas.microsoft.com/office/drawing/2014/chart" uri="{C3380CC4-5D6E-409C-BE32-E72D297353CC}">
              <c16:uniqueId val="{00000001-21CC-4CDA-87FC-EDEB8524DED5}"/>
            </c:ext>
          </c:extLst>
        </c:ser>
        <c:dLbls>
          <c:showLegendKey val="0"/>
          <c:showVal val="0"/>
          <c:showCatName val="0"/>
          <c:showSerName val="0"/>
          <c:showPercent val="0"/>
          <c:showBubbleSize val="0"/>
        </c:dLbls>
        <c:gapWidth val="100"/>
        <c:overlap val="100"/>
        <c:axId val="676032112"/>
        <c:axId val="676040752"/>
      </c:barChart>
      <c:catAx>
        <c:axId val="676032112"/>
        <c:scaling>
          <c:orientation val="minMax"/>
        </c:scaling>
        <c:delete val="1"/>
        <c:axPos val="l"/>
        <c:numFmt formatCode="General" sourceLinked="1"/>
        <c:majorTickMark val="none"/>
        <c:minorTickMark val="none"/>
        <c:tickLblPos val="nextTo"/>
        <c:crossAx val="676040752"/>
        <c:crosses val="autoZero"/>
        <c:auto val="1"/>
        <c:lblAlgn val="ctr"/>
        <c:lblOffset val="100"/>
        <c:noMultiLvlLbl val="0"/>
      </c:catAx>
      <c:valAx>
        <c:axId val="676040752"/>
        <c:scaling>
          <c:orientation val="minMax"/>
        </c:scaling>
        <c:delete val="1"/>
        <c:axPos val="b"/>
        <c:numFmt formatCode="0%" sourceLinked="1"/>
        <c:majorTickMark val="none"/>
        <c:minorTickMark val="none"/>
        <c:tickLblPos val="nextTo"/>
        <c:crossAx val="67603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181590454911117E-4"/>
          <c:y val="0"/>
          <c:w val="0.99454545610724232"/>
          <c:h val="1"/>
        </c:manualLayout>
      </c:layout>
      <c:areaChart>
        <c:grouping val="standard"/>
        <c:varyColors val="0"/>
        <c:ser>
          <c:idx val="1"/>
          <c:order val="1"/>
          <c:tx>
            <c:strRef>
              <c:f>Budget!$G$60:$R$60</c:f>
              <c:strCache>
                <c:ptCount val="12"/>
                <c:pt idx="0">
                  <c:v>883</c:v>
                </c:pt>
                <c:pt idx="1">
                  <c:v>886</c:v>
                </c:pt>
                <c:pt idx="2">
                  <c:v>893</c:v>
                </c:pt>
                <c:pt idx="3">
                  <c:v>886</c:v>
                </c:pt>
                <c:pt idx="4">
                  <c:v>878</c:v>
                </c:pt>
                <c:pt idx="5">
                  <c:v>878</c:v>
                </c:pt>
                <c:pt idx="6">
                  <c:v>878</c:v>
                </c:pt>
                <c:pt idx="7">
                  <c:v>878</c:v>
                </c:pt>
                <c:pt idx="8">
                  <c:v>878</c:v>
                </c:pt>
                <c:pt idx="9">
                  <c:v>878</c:v>
                </c:pt>
                <c:pt idx="10">
                  <c:v>878</c:v>
                </c:pt>
                <c:pt idx="11">
                  <c:v>878</c:v>
                </c:pt>
              </c:strCache>
            </c:strRef>
          </c:tx>
          <c:spPr>
            <a:solidFill>
              <a:srgbClr val="ECC6C9"/>
            </a:solidFill>
            <a:ln>
              <a:solidFill>
                <a:srgbClr val="632024"/>
              </a:solidFill>
            </a:ln>
            <a:effectLst/>
          </c:spPr>
          <c:val>
            <c:numRef>
              <c:f>Budget!$G$60:$R$60</c:f>
              <c:numCache>
                <c:formatCode>General</c:formatCode>
                <c:ptCount val="12"/>
                <c:pt idx="0">
                  <c:v>883</c:v>
                </c:pt>
                <c:pt idx="1">
                  <c:v>886</c:v>
                </c:pt>
                <c:pt idx="2">
                  <c:v>893</c:v>
                </c:pt>
                <c:pt idx="3">
                  <c:v>886</c:v>
                </c:pt>
                <c:pt idx="4">
                  <c:v>878</c:v>
                </c:pt>
                <c:pt idx="5">
                  <c:v>878</c:v>
                </c:pt>
                <c:pt idx="6">
                  <c:v>878</c:v>
                </c:pt>
                <c:pt idx="7">
                  <c:v>878</c:v>
                </c:pt>
                <c:pt idx="8">
                  <c:v>878</c:v>
                </c:pt>
                <c:pt idx="9">
                  <c:v>878</c:v>
                </c:pt>
                <c:pt idx="10">
                  <c:v>878</c:v>
                </c:pt>
                <c:pt idx="11">
                  <c:v>878</c:v>
                </c:pt>
              </c:numCache>
            </c:numRef>
          </c:val>
          <c:extLst>
            <c:ext xmlns:c16="http://schemas.microsoft.com/office/drawing/2014/chart" uri="{C3380CC4-5D6E-409C-BE32-E72D297353CC}">
              <c16:uniqueId val="{00000001-979F-4301-ADC0-62102647A573}"/>
            </c:ext>
          </c:extLst>
        </c:ser>
        <c:dLbls>
          <c:showLegendKey val="0"/>
          <c:showVal val="0"/>
          <c:showCatName val="0"/>
          <c:showSerName val="0"/>
          <c:showPercent val="0"/>
          <c:showBubbleSize val="0"/>
        </c:dLbls>
        <c:axId val="1351915664"/>
        <c:axId val="1351916144"/>
      </c:areaChart>
      <c:lineChart>
        <c:grouping val="standard"/>
        <c:varyColors val="0"/>
        <c:ser>
          <c:idx val="0"/>
          <c:order val="0"/>
          <c:spPr>
            <a:ln w="28575" cap="rnd">
              <a:solidFill>
                <a:srgbClr val="632024"/>
              </a:solidFill>
              <a:round/>
            </a:ln>
            <a:effectLst/>
          </c:spPr>
          <c:marker>
            <c:symbol val="none"/>
          </c:marker>
          <c:cat>
            <c:strRef>
              <c:f>Budget!$G$39:$R$39</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Budget!$G$60:$R$60</c:f>
              <c:numCache>
                <c:formatCode>General</c:formatCode>
                <c:ptCount val="12"/>
                <c:pt idx="0">
                  <c:v>883</c:v>
                </c:pt>
                <c:pt idx="1">
                  <c:v>886</c:v>
                </c:pt>
                <c:pt idx="2">
                  <c:v>893</c:v>
                </c:pt>
                <c:pt idx="3">
                  <c:v>886</c:v>
                </c:pt>
                <c:pt idx="4">
                  <c:v>878</c:v>
                </c:pt>
                <c:pt idx="5">
                  <c:v>878</c:v>
                </c:pt>
                <c:pt idx="6">
                  <c:v>878</c:v>
                </c:pt>
                <c:pt idx="7">
                  <c:v>878</c:v>
                </c:pt>
                <c:pt idx="8">
                  <c:v>878</c:v>
                </c:pt>
                <c:pt idx="9">
                  <c:v>878</c:v>
                </c:pt>
                <c:pt idx="10">
                  <c:v>878</c:v>
                </c:pt>
                <c:pt idx="11">
                  <c:v>878</c:v>
                </c:pt>
              </c:numCache>
            </c:numRef>
          </c:val>
          <c:smooth val="1"/>
          <c:extLst>
            <c:ext xmlns:c16="http://schemas.microsoft.com/office/drawing/2014/chart" uri="{C3380CC4-5D6E-409C-BE32-E72D297353CC}">
              <c16:uniqueId val="{00000000-979F-4301-ADC0-62102647A573}"/>
            </c:ext>
          </c:extLst>
        </c:ser>
        <c:dLbls>
          <c:showLegendKey val="0"/>
          <c:showVal val="0"/>
          <c:showCatName val="0"/>
          <c:showSerName val="0"/>
          <c:showPercent val="0"/>
          <c:showBubbleSize val="0"/>
        </c:dLbls>
        <c:marker val="1"/>
        <c:smooth val="0"/>
        <c:axId val="1351915664"/>
        <c:axId val="1351916144"/>
      </c:lineChart>
      <c:catAx>
        <c:axId val="1351915664"/>
        <c:scaling>
          <c:orientation val="minMax"/>
        </c:scaling>
        <c:delete val="1"/>
        <c:axPos val="b"/>
        <c:numFmt formatCode="General" sourceLinked="1"/>
        <c:majorTickMark val="none"/>
        <c:minorTickMark val="none"/>
        <c:tickLblPos val="nextTo"/>
        <c:crossAx val="1351916144"/>
        <c:crosses val="autoZero"/>
        <c:auto val="1"/>
        <c:lblAlgn val="ctr"/>
        <c:lblOffset val="100"/>
        <c:noMultiLvlLbl val="0"/>
      </c:catAx>
      <c:valAx>
        <c:axId val="1351916144"/>
        <c:scaling>
          <c:orientation val="minMax"/>
        </c:scaling>
        <c:delete val="1"/>
        <c:axPos val="l"/>
        <c:numFmt formatCode="General" sourceLinked="1"/>
        <c:majorTickMark val="none"/>
        <c:minorTickMark val="none"/>
        <c:tickLblPos val="nextTo"/>
        <c:crossAx val="1351915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89886766300772"/>
          <c:y val="1.6615799926397858E-2"/>
          <c:w val="0.63810113233699228"/>
          <c:h val="0.96676840014720433"/>
        </c:manualLayout>
      </c:layout>
      <c:barChart>
        <c:barDir val="bar"/>
        <c:grouping val="clustered"/>
        <c:varyColors val="0"/>
        <c:ser>
          <c:idx val="0"/>
          <c:order val="0"/>
          <c:spPr>
            <a:solidFill>
              <a:srgbClr val="63202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Budget!$E$40:$E$59</c:f>
              <c:strCache>
                <c:ptCount val="10"/>
                <c:pt idx="0">
                  <c:v>Rent</c:v>
                </c:pt>
                <c:pt idx="1">
                  <c:v>Utilities &amp; Internet</c:v>
                </c:pt>
                <c:pt idx="2">
                  <c:v>Groceries</c:v>
                </c:pt>
                <c:pt idx="3">
                  <c:v>Transport</c:v>
                </c:pt>
                <c:pt idx="4">
                  <c:v>Health &amp; Pharmacy</c:v>
                </c:pt>
                <c:pt idx="5">
                  <c:v>Eating Out</c:v>
                </c:pt>
                <c:pt idx="6">
                  <c:v>Subscriptions</c:v>
                </c:pt>
                <c:pt idx="7">
                  <c:v>Shopping</c:v>
                </c:pt>
                <c:pt idx="8">
                  <c:v>Leisure</c:v>
                </c:pt>
                <c:pt idx="9">
                  <c:v>Gym</c:v>
                </c:pt>
              </c:strCache>
            </c:strRef>
          </c:cat>
          <c:val>
            <c:numRef>
              <c:f>Budget!$S$40:$S$59</c:f>
              <c:numCache>
                <c:formatCode>General</c:formatCode>
                <c:ptCount val="20"/>
                <c:pt idx="0">
                  <c:v>6000</c:v>
                </c:pt>
                <c:pt idx="1">
                  <c:v>96</c:v>
                </c:pt>
                <c:pt idx="2">
                  <c:v>2400</c:v>
                </c:pt>
                <c:pt idx="3">
                  <c:v>1200</c:v>
                </c:pt>
                <c:pt idx="4">
                  <c:v>240</c:v>
                </c:pt>
                <c:pt idx="5">
                  <c:v>120</c:v>
                </c:pt>
                <c:pt idx="6">
                  <c:v>60</c:v>
                </c:pt>
                <c:pt idx="7">
                  <c:v>360</c:v>
                </c:pt>
                <c:pt idx="8">
                  <c:v>60</c:v>
                </c:pt>
                <c:pt idx="9">
                  <c:v>36</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6D6-49DF-8DE0-3DC85060507D}"/>
            </c:ext>
          </c:extLst>
        </c:ser>
        <c:dLbls>
          <c:dLblPos val="outEnd"/>
          <c:showLegendKey val="0"/>
          <c:showVal val="1"/>
          <c:showCatName val="0"/>
          <c:showSerName val="0"/>
          <c:showPercent val="0"/>
          <c:showBubbleSize val="0"/>
        </c:dLbls>
        <c:gapWidth val="182"/>
        <c:axId val="1351881584"/>
        <c:axId val="1351882064"/>
      </c:barChart>
      <c:catAx>
        <c:axId val="1351881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masis MT Pro" panose="02040504050005020304" pitchFamily="18" charset="0"/>
                <a:ea typeface="+mn-ea"/>
                <a:cs typeface="+mn-cs"/>
              </a:defRPr>
            </a:pPr>
            <a:endParaRPr lang="en-US"/>
          </a:p>
        </c:txPr>
        <c:crossAx val="1351882064"/>
        <c:crosses val="autoZero"/>
        <c:auto val="1"/>
        <c:lblAlgn val="ctr"/>
        <c:lblOffset val="100"/>
        <c:noMultiLvlLbl val="0"/>
      </c:catAx>
      <c:valAx>
        <c:axId val="1351882064"/>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35188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8.3350884551566876E-2"/>
          <c:w val="1"/>
          <c:h val="0.90149440916633017"/>
        </c:manualLayout>
      </c:layout>
      <c:barChart>
        <c:barDir val="bar"/>
        <c:grouping val="stacked"/>
        <c:varyColors val="0"/>
        <c:ser>
          <c:idx val="0"/>
          <c:order val="0"/>
          <c:tx>
            <c:strRef>
              <c:f>Backend!$S$42</c:f>
              <c:strCache>
                <c:ptCount val="1"/>
                <c:pt idx="0">
                  <c:v>High Priority</c:v>
                </c:pt>
              </c:strCache>
            </c:strRef>
          </c:tx>
          <c:spPr>
            <a:solidFill>
              <a:srgbClr val="6F4D38"/>
            </a:solidFill>
            <a:ln>
              <a:noFill/>
            </a:ln>
            <a:effectLst/>
          </c:spPr>
          <c:invertIfNegative val="0"/>
          <c:dLbls>
            <c:spPr>
              <a:noFill/>
              <a:ln>
                <a:noFill/>
              </a:ln>
              <a:effectLst/>
            </c:spPr>
            <c:txPr>
              <a:bodyPr rot="0" spcFirstLastPara="1" vertOverflow="overflow" horzOverflow="overflow" vert="horz" wrap="none" lIns="38100" tIns="19050" rIns="38100" bIns="19050" anchor="t" anchorCtr="1">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val>
            <c:numRef>
              <c:f>Backend!$T$42</c:f>
              <c:numCache>
                <c:formatCode>General</c:formatCode>
                <c:ptCount val="1"/>
                <c:pt idx="0">
                  <c:v>960</c:v>
                </c:pt>
              </c:numCache>
            </c:numRef>
          </c:val>
          <c:extLst>
            <c:ext xmlns:c16="http://schemas.microsoft.com/office/drawing/2014/chart" uri="{C3380CC4-5D6E-409C-BE32-E72D297353CC}">
              <c16:uniqueId val="{00000000-5250-424D-ABD9-DB19DA804082}"/>
            </c:ext>
          </c:extLst>
        </c:ser>
        <c:ser>
          <c:idx val="1"/>
          <c:order val="1"/>
          <c:tx>
            <c:strRef>
              <c:f>Backend!$S$43</c:f>
              <c:strCache>
                <c:ptCount val="1"/>
                <c:pt idx="0">
                  <c:v>Low Priority</c:v>
                </c:pt>
              </c:strCache>
            </c:strRef>
          </c:tx>
          <c:spPr>
            <a:solidFill>
              <a:srgbClr val="C4A08A"/>
            </a:solidFill>
            <a:ln>
              <a:noFill/>
            </a:ln>
            <a:effectLst/>
          </c:spPr>
          <c:invertIfNegative val="0"/>
          <c:dLbls>
            <c:spPr>
              <a:noFill/>
              <a:ln>
                <a:noFill/>
              </a:ln>
              <a:effectLst/>
            </c:spPr>
            <c:txPr>
              <a:bodyPr rot="0" spcFirstLastPara="1" vertOverflow="ellipsis" vert="horz" wrap="non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val>
            <c:numRef>
              <c:f>Backend!$T$43</c:f>
              <c:numCache>
                <c:formatCode>General</c:formatCode>
                <c:ptCount val="1"/>
                <c:pt idx="0">
                  <c:v>180</c:v>
                </c:pt>
              </c:numCache>
            </c:numRef>
          </c:val>
          <c:extLst>
            <c:ext xmlns:c16="http://schemas.microsoft.com/office/drawing/2014/chart" uri="{C3380CC4-5D6E-409C-BE32-E72D297353CC}">
              <c16:uniqueId val="{00000001-5250-424D-ABD9-DB19DA804082}"/>
            </c:ext>
          </c:extLst>
        </c:ser>
        <c:dLbls>
          <c:showLegendKey val="0"/>
          <c:showVal val="0"/>
          <c:showCatName val="0"/>
          <c:showSerName val="0"/>
          <c:showPercent val="0"/>
          <c:showBubbleSize val="0"/>
        </c:dLbls>
        <c:gapWidth val="100"/>
        <c:overlap val="100"/>
        <c:axId val="1351903664"/>
        <c:axId val="1351907024"/>
      </c:barChart>
      <c:catAx>
        <c:axId val="1351903664"/>
        <c:scaling>
          <c:orientation val="minMax"/>
        </c:scaling>
        <c:delete val="1"/>
        <c:axPos val="l"/>
        <c:numFmt formatCode="General" sourceLinked="1"/>
        <c:majorTickMark val="none"/>
        <c:minorTickMark val="none"/>
        <c:tickLblPos val="nextTo"/>
        <c:crossAx val="1351907024"/>
        <c:crosses val="autoZero"/>
        <c:auto val="1"/>
        <c:lblAlgn val="ctr"/>
        <c:lblOffset val="100"/>
        <c:noMultiLvlLbl val="0"/>
      </c:catAx>
      <c:valAx>
        <c:axId val="1351907024"/>
        <c:scaling>
          <c:orientation val="minMax"/>
        </c:scaling>
        <c:delete val="1"/>
        <c:axPos val="b"/>
        <c:numFmt formatCode="General" sourceLinked="1"/>
        <c:majorTickMark val="none"/>
        <c:minorTickMark val="none"/>
        <c:tickLblPos val="nextTo"/>
        <c:crossAx val="1351903664"/>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569627520323334E-3"/>
          <c:y val="6.9390944208588086E-3"/>
          <c:w val="0.99544303724796768"/>
          <c:h val="0.97918271673742352"/>
        </c:manualLayout>
      </c:layout>
      <c:areaChart>
        <c:grouping val="standard"/>
        <c:varyColors val="0"/>
        <c:ser>
          <c:idx val="1"/>
          <c:order val="1"/>
          <c:tx>
            <c:strRef>
              <c:f>Budget!$G$82:$R$82</c:f>
              <c:strCache>
                <c:ptCount val="12"/>
                <c:pt idx="0">
                  <c:v>95</c:v>
                </c:pt>
                <c:pt idx="1">
                  <c:v>95</c:v>
                </c:pt>
                <c:pt idx="2">
                  <c:v>95</c:v>
                </c:pt>
                <c:pt idx="3">
                  <c:v>95</c:v>
                </c:pt>
                <c:pt idx="4">
                  <c:v>95</c:v>
                </c:pt>
                <c:pt idx="5">
                  <c:v>95</c:v>
                </c:pt>
                <c:pt idx="6">
                  <c:v>95</c:v>
                </c:pt>
                <c:pt idx="7">
                  <c:v>95</c:v>
                </c:pt>
                <c:pt idx="8">
                  <c:v>95</c:v>
                </c:pt>
                <c:pt idx="9">
                  <c:v>95</c:v>
                </c:pt>
                <c:pt idx="10">
                  <c:v>95</c:v>
                </c:pt>
                <c:pt idx="11">
                  <c:v>95</c:v>
                </c:pt>
              </c:strCache>
            </c:strRef>
          </c:tx>
          <c:spPr>
            <a:solidFill>
              <a:srgbClr val="C4A08A">
                <a:alpha val="50000"/>
              </a:srgbClr>
            </a:solidFill>
            <a:ln>
              <a:solidFill>
                <a:srgbClr val="6F4D38"/>
              </a:solidFill>
            </a:ln>
            <a:effectLst/>
          </c:spPr>
          <c:val>
            <c:numRef>
              <c:f>Budget!$G$82:$R$82</c:f>
              <c:numCache>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Cache>
            </c:numRef>
          </c:val>
          <c:extLst>
            <c:ext xmlns:c16="http://schemas.microsoft.com/office/drawing/2014/chart" uri="{C3380CC4-5D6E-409C-BE32-E72D297353CC}">
              <c16:uniqueId val="{00000001-3B9C-4B38-9E12-C0D8E8833BEA}"/>
            </c:ext>
          </c:extLst>
        </c:ser>
        <c:dLbls>
          <c:showLegendKey val="0"/>
          <c:showVal val="0"/>
          <c:showCatName val="0"/>
          <c:showSerName val="0"/>
          <c:showPercent val="0"/>
          <c:showBubbleSize val="0"/>
        </c:dLbls>
        <c:axId val="1395746768"/>
        <c:axId val="1395749168"/>
      </c:areaChart>
      <c:lineChart>
        <c:grouping val="standard"/>
        <c:varyColors val="0"/>
        <c:ser>
          <c:idx val="0"/>
          <c:order val="0"/>
          <c:spPr>
            <a:ln w="28575" cap="rnd">
              <a:solidFill>
                <a:srgbClr val="6F4D38"/>
              </a:solidFill>
              <a:round/>
            </a:ln>
            <a:effectLst/>
          </c:spPr>
          <c:marker>
            <c:symbol val="none"/>
          </c:marker>
          <c:cat>
            <c:strRef>
              <c:f>Budget!$G$71:$R$71</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Budget!$G$82:$R$82</c:f>
              <c:numCache>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Cache>
            </c:numRef>
          </c:val>
          <c:smooth val="1"/>
          <c:extLst>
            <c:ext xmlns:c16="http://schemas.microsoft.com/office/drawing/2014/chart" uri="{C3380CC4-5D6E-409C-BE32-E72D297353CC}">
              <c16:uniqueId val="{00000000-3B9C-4B38-9E12-C0D8E8833BEA}"/>
            </c:ext>
          </c:extLst>
        </c:ser>
        <c:dLbls>
          <c:showLegendKey val="0"/>
          <c:showVal val="0"/>
          <c:showCatName val="0"/>
          <c:showSerName val="0"/>
          <c:showPercent val="0"/>
          <c:showBubbleSize val="0"/>
        </c:dLbls>
        <c:marker val="1"/>
        <c:smooth val="0"/>
        <c:axId val="1395746768"/>
        <c:axId val="1395749168"/>
      </c:lineChart>
      <c:catAx>
        <c:axId val="1395746768"/>
        <c:scaling>
          <c:orientation val="minMax"/>
        </c:scaling>
        <c:delete val="1"/>
        <c:axPos val="b"/>
        <c:numFmt formatCode="General" sourceLinked="1"/>
        <c:majorTickMark val="none"/>
        <c:minorTickMark val="none"/>
        <c:tickLblPos val="nextTo"/>
        <c:crossAx val="1395749168"/>
        <c:crosses val="autoZero"/>
        <c:auto val="1"/>
        <c:lblAlgn val="ctr"/>
        <c:lblOffset val="100"/>
        <c:noMultiLvlLbl val="0"/>
      </c:catAx>
      <c:valAx>
        <c:axId val="139574916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9574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6F4D38"/>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ysClr val="windowText" lastClr="000000"/>
                    </a:solidFill>
                    <a:latin typeface="Amasis MT Pro" panose="020405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Budget!$E$72:$E$81</c:f>
              <c:strCache>
                <c:ptCount val="2"/>
                <c:pt idx="0">
                  <c:v>Student Loan</c:v>
                </c:pt>
                <c:pt idx="1">
                  <c:v>Credit Card</c:v>
                </c:pt>
              </c:strCache>
            </c:strRef>
          </c:cat>
          <c:val>
            <c:numRef>
              <c:f>Budget!$S$72:$S$81</c:f>
              <c:numCache>
                <c:formatCode>General</c:formatCode>
                <c:ptCount val="10"/>
                <c:pt idx="0">
                  <c:v>960</c:v>
                </c:pt>
                <c:pt idx="1">
                  <c:v>180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185-4AED-B1E2-8CAFDF0A4B50}"/>
            </c:ext>
          </c:extLst>
        </c:ser>
        <c:dLbls>
          <c:dLblPos val="outEnd"/>
          <c:showLegendKey val="0"/>
          <c:showVal val="1"/>
          <c:showCatName val="0"/>
          <c:showSerName val="0"/>
          <c:showPercent val="0"/>
          <c:showBubbleSize val="0"/>
        </c:dLbls>
        <c:gapWidth val="182"/>
        <c:axId val="1351904144"/>
        <c:axId val="1351906544"/>
      </c:barChart>
      <c:catAx>
        <c:axId val="1351904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ysClr val="windowText" lastClr="000000"/>
                </a:solidFill>
                <a:latin typeface="Amasis MT Pro" panose="02040504050005020304" pitchFamily="18" charset="0"/>
                <a:ea typeface="+mn-ea"/>
                <a:cs typeface="+mn-cs"/>
              </a:defRPr>
            </a:pPr>
            <a:endParaRPr lang="en-US"/>
          </a:p>
        </c:txPr>
        <c:crossAx val="1351906544"/>
        <c:crosses val="autoZero"/>
        <c:auto val="1"/>
        <c:lblAlgn val="ctr"/>
        <c:lblOffset val="100"/>
        <c:noMultiLvlLbl val="0"/>
      </c:catAx>
      <c:valAx>
        <c:axId val="1351906544"/>
        <c:scaling>
          <c:orientation val="minMax"/>
        </c:scaling>
        <c:delete val="1"/>
        <c:axPos val="b"/>
        <c:numFmt formatCode="General" sourceLinked="1"/>
        <c:majorTickMark val="none"/>
        <c:minorTickMark val="none"/>
        <c:tickLblPos val="nextTo"/>
        <c:crossAx val="135190414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8813973185184499E-3"/>
          <c:y val="0"/>
          <c:w val="0.99611859851455409"/>
          <c:h val="0.99999999999999989"/>
        </c:manualLayout>
      </c:layout>
      <c:barChart>
        <c:barDir val="bar"/>
        <c:grouping val="stacked"/>
        <c:varyColors val="0"/>
        <c:ser>
          <c:idx val="0"/>
          <c:order val="0"/>
          <c:tx>
            <c:strRef>
              <c:f>Backend!$S$56</c:f>
              <c:strCache>
                <c:ptCount val="1"/>
                <c:pt idx="0">
                  <c:v>Long Term</c:v>
                </c:pt>
              </c:strCache>
            </c:strRef>
          </c:tx>
          <c:spPr>
            <a:solidFill>
              <a:srgbClr val="61789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Backend!$T$56</c:f>
              <c:numCache>
                <c:formatCode>General</c:formatCode>
                <c:ptCount val="1"/>
                <c:pt idx="0">
                  <c:v>4200</c:v>
                </c:pt>
              </c:numCache>
            </c:numRef>
          </c:val>
          <c:extLst>
            <c:ext xmlns:c16="http://schemas.microsoft.com/office/drawing/2014/chart" uri="{C3380CC4-5D6E-409C-BE32-E72D297353CC}">
              <c16:uniqueId val="{00000000-032A-461F-A650-5EEC55BE1E63}"/>
            </c:ext>
          </c:extLst>
        </c:ser>
        <c:ser>
          <c:idx val="1"/>
          <c:order val="1"/>
          <c:tx>
            <c:strRef>
              <c:f>Backend!$S$57</c:f>
              <c:strCache>
                <c:ptCount val="1"/>
                <c:pt idx="0">
                  <c:v>Short Term</c:v>
                </c:pt>
              </c:strCache>
            </c:strRef>
          </c:tx>
          <c:spPr>
            <a:solidFill>
              <a:srgbClr val="9EADBE"/>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2">
                        <a:lumMod val="90000"/>
                      </a:schemeClr>
                    </a:solidFill>
                    <a:latin typeface="Amasis MT Pro" panose="02040504050005020304" pitchFamily="18" charset="0"/>
                    <a:ea typeface="+mn-ea"/>
                    <a:cs typeface="+mn-cs"/>
                  </a:defRPr>
                </a:pPr>
                <a:endParaRPr lang="en-US"/>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val>
            <c:numRef>
              <c:f>Backend!$T$57</c:f>
              <c:numCache>
                <c:formatCode>General</c:formatCode>
                <c:ptCount val="1"/>
                <c:pt idx="0">
                  <c:v>3840</c:v>
                </c:pt>
              </c:numCache>
            </c:numRef>
          </c:val>
          <c:extLst>
            <c:ext xmlns:c16="http://schemas.microsoft.com/office/drawing/2014/chart" uri="{C3380CC4-5D6E-409C-BE32-E72D297353CC}">
              <c16:uniqueId val="{00000001-032A-461F-A650-5EEC55BE1E63}"/>
            </c:ext>
          </c:extLst>
        </c:ser>
        <c:dLbls>
          <c:showLegendKey val="0"/>
          <c:showVal val="0"/>
          <c:showCatName val="0"/>
          <c:showSerName val="0"/>
          <c:showPercent val="0"/>
          <c:showBubbleSize val="0"/>
        </c:dLbls>
        <c:gapWidth val="100"/>
        <c:overlap val="100"/>
        <c:axId val="367893760"/>
        <c:axId val="367893280"/>
      </c:barChart>
      <c:catAx>
        <c:axId val="367893760"/>
        <c:scaling>
          <c:orientation val="minMax"/>
        </c:scaling>
        <c:delete val="1"/>
        <c:axPos val="l"/>
        <c:numFmt formatCode="General" sourceLinked="1"/>
        <c:majorTickMark val="none"/>
        <c:minorTickMark val="none"/>
        <c:tickLblPos val="nextTo"/>
        <c:crossAx val="367893280"/>
        <c:crosses val="autoZero"/>
        <c:auto val="1"/>
        <c:lblAlgn val="ctr"/>
        <c:lblOffset val="100"/>
        <c:noMultiLvlLbl val="0"/>
      </c:catAx>
      <c:valAx>
        <c:axId val="367893280"/>
        <c:scaling>
          <c:orientation val="minMax"/>
        </c:scaling>
        <c:delete val="1"/>
        <c:axPos val="b"/>
        <c:numFmt formatCode="General" sourceLinked="1"/>
        <c:majorTickMark val="none"/>
        <c:minorTickMark val="none"/>
        <c:tickLblPos val="nextTo"/>
        <c:crossAx val="367893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1.3615747523300886E-2"/>
          <c:w val="1"/>
          <c:h val="0.98349795275590546"/>
        </c:manualLayout>
      </c:layout>
      <c:areaChart>
        <c:grouping val="standard"/>
        <c:varyColors val="0"/>
        <c:ser>
          <c:idx val="1"/>
          <c:order val="1"/>
          <c:tx>
            <c:strRef>
              <c:f>Budget!$G$104:$R$104</c:f>
              <c:strCache>
                <c:ptCount val="12"/>
                <c:pt idx="0">
                  <c:v>670</c:v>
                </c:pt>
                <c:pt idx="1">
                  <c:v>670</c:v>
                </c:pt>
                <c:pt idx="2">
                  <c:v>670</c:v>
                </c:pt>
                <c:pt idx="3">
                  <c:v>670</c:v>
                </c:pt>
                <c:pt idx="4">
                  <c:v>670</c:v>
                </c:pt>
                <c:pt idx="5">
                  <c:v>670</c:v>
                </c:pt>
                <c:pt idx="6">
                  <c:v>670</c:v>
                </c:pt>
                <c:pt idx="7">
                  <c:v>670</c:v>
                </c:pt>
                <c:pt idx="8">
                  <c:v>670</c:v>
                </c:pt>
                <c:pt idx="9">
                  <c:v>670</c:v>
                </c:pt>
                <c:pt idx="10">
                  <c:v>670</c:v>
                </c:pt>
                <c:pt idx="11">
                  <c:v>670</c:v>
                </c:pt>
              </c:strCache>
            </c:strRef>
          </c:tx>
          <c:spPr>
            <a:solidFill>
              <a:srgbClr val="8598AD">
                <a:alpha val="48627"/>
              </a:srgbClr>
            </a:solidFill>
            <a:ln>
              <a:noFill/>
            </a:ln>
            <a:effectLst/>
          </c:spPr>
          <c:val>
            <c:numRef>
              <c:f>Budget!$G$104:$R$104</c:f>
              <c:numCache>
                <c:formatCode>General</c:formatCode>
                <c:ptCount val="12"/>
                <c:pt idx="0">
                  <c:v>670</c:v>
                </c:pt>
                <c:pt idx="1">
                  <c:v>670</c:v>
                </c:pt>
                <c:pt idx="2">
                  <c:v>670</c:v>
                </c:pt>
                <c:pt idx="3">
                  <c:v>670</c:v>
                </c:pt>
                <c:pt idx="4">
                  <c:v>670</c:v>
                </c:pt>
                <c:pt idx="5">
                  <c:v>670</c:v>
                </c:pt>
                <c:pt idx="6">
                  <c:v>670</c:v>
                </c:pt>
                <c:pt idx="7">
                  <c:v>670</c:v>
                </c:pt>
                <c:pt idx="8">
                  <c:v>670</c:v>
                </c:pt>
                <c:pt idx="9">
                  <c:v>670</c:v>
                </c:pt>
                <c:pt idx="10">
                  <c:v>670</c:v>
                </c:pt>
                <c:pt idx="11">
                  <c:v>670</c:v>
                </c:pt>
              </c:numCache>
            </c:numRef>
          </c:val>
          <c:extLst>
            <c:ext xmlns:c16="http://schemas.microsoft.com/office/drawing/2014/chart" uri="{C3380CC4-5D6E-409C-BE32-E72D297353CC}">
              <c16:uniqueId val="{00000002-7677-433A-B61F-D6C51A651CF9}"/>
            </c:ext>
          </c:extLst>
        </c:ser>
        <c:dLbls>
          <c:showLegendKey val="0"/>
          <c:showVal val="0"/>
          <c:showCatName val="0"/>
          <c:showSerName val="0"/>
          <c:showPercent val="0"/>
          <c:showBubbleSize val="0"/>
        </c:dLbls>
        <c:axId val="1386902736"/>
        <c:axId val="1386903696"/>
      </c:areaChart>
      <c:lineChart>
        <c:grouping val="standard"/>
        <c:varyColors val="0"/>
        <c:ser>
          <c:idx val="0"/>
          <c:order val="0"/>
          <c:spPr>
            <a:ln w="28575" cap="rnd">
              <a:solidFill>
                <a:srgbClr val="617891"/>
              </a:solidFill>
              <a:round/>
            </a:ln>
            <a:effectLst/>
          </c:spPr>
          <c:marker>
            <c:symbol val="none"/>
          </c:marker>
          <c:cat>
            <c:strRef>
              <c:f>Budget!$G$93:$R$93</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Budget!$G$104:$R$104</c:f>
              <c:numCache>
                <c:formatCode>General</c:formatCode>
                <c:ptCount val="12"/>
                <c:pt idx="0">
                  <c:v>670</c:v>
                </c:pt>
                <c:pt idx="1">
                  <c:v>670</c:v>
                </c:pt>
                <c:pt idx="2">
                  <c:v>670</c:v>
                </c:pt>
                <c:pt idx="3">
                  <c:v>670</c:v>
                </c:pt>
                <c:pt idx="4">
                  <c:v>670</c:v>
                </c:pt>
                <c:pt idx="5">
                  <c:v>670</c:v>
                </c:pt>
                <c:pt idx="6">
                  <c:v>670</c:v>
                </c:pt>
                <c:pt idx="7">
                  <c:v>670</c:v>
                </c:pt>
                <c:pt idx="8">
                  <c:v>670</c:v>
                </c:pt>
                <c:pt idx="9">
                  <c:v>670</c:v>
                </c:pt>
                <c:pt idx="10">
                  <c:v>670</c:v>
                </c:pt>
                <c:pt idx="11">
                  <c:v>670</c:v>
                </c:pt>
              </c:numCache>
            </c:numRef>
          </c:val>
          <c:smooth val="1"/>
          <c:extLst>
            <c:ext xmlns:c16="http://schemas.microsoft.com/office/drawing/2014/chart" uri="{C3380CC4-5D6E-409C-BE32-E72D297353CC}">
              <c16:uniqueId val="{00000000-7677-433A-B61F-D6C51A651CF9}"/>
            </c:ext>
          </c:extLst>
        </c:ser>
        <c:dLbls>
          <c:showLegendKey val="0"/>
          <c:showVal val="0"/>
          <c:showCatName val="0"/>
          <c:showSerName val="0"/>
          <c:showPercent val="0"/>
          <c:showBubbleSize val="0"/>
        </c:dLbls>
        <c:marker val="1"/>
        <c:smooth val="0"/>
        <c:axId val="1386902736"/>
        <c:axId val="1386903696"/>
      </c:lineChart>
      <c:catAx>
        <c:axId val="1386902736"/>
        <c:scaling>
          <c:orientation val="minMax"/>
        </c:scaling>
        <c:delete val="1"/>
        <c:axPos val="b"/>
        <c:numFmt formatCode="General" sourceLinked="1"/>
        <c:majorTickMark val="none"/>
        <c:minorTickMark val="none"/>
        <c:tickLblPos val="nextTo"/>
        <c:crossAx val="1386903696"/>
        <c:crosses val="autoZero"/>
        <c:auto val="1"/>
        <c:lblAlgn val="ctr"/>
        <c:lblOffset val="100"/>
        <c:noMultiLvlLbl val="0"/>
      </c:catAx>
      <c:valAx>
        <c:axId val="1386903696"/>
        <c:scaling>
          <c:orientation val="minMax"/>
        </c:scaling>
        <c:delete val="1"/>
        <c:axPos val="l"/>
        <c:numFmt formatCode="General" sourceLinked="1"/>
        <c:majorTickMark val="none"/>
        <c:minorTickMark val="none"/>
        <c:tickLblPos val="nextTo"/>
        <c:crossAx val="1386902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106859916487333"/>
          <c:y val="3.98470580349439E-2"/>
          <c:w val="0.50491296792571116"/>
          <c:h val="0.92030588393011215"/>
        </c:manualLayout>
      </c:layout>
      <c:barChart>
        <c:barDir val="bar"/>
        <c:grouping val="clustered"/>
        <c:varyColors val="0"/>
        <c:ser>
          <c:idx val="0"/>
          <c:order val="0"/>
          <c:spPr>
            <a:solidFill>
              <a:srgbClr val="61789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Budget!$E$94:$E$103</c:f>
              <c:strCache>
                <c:ptCount val="4"/>
                <c:pt idx="0">
                  <c:v>Emergency Fund</c:v>
                </c:pt>
                <c:pt idx="1">
                  <c:v>Travel Fund</c:v>
                </c:pt>
                <c:pt idx="2">
                  <c:v>Investing</c:v>
                </c:pt>
                <c:pt idx="3">
                  <c:v>Tuition</c:v>
                </c:pt>
              </c:strCache>
            </c:strRef>
          </c:cat>
          <c:val>
            <c:numRef>
              <c:f>Budget!$S$94:$S$103</c:f>
              <c:numCache>
                <c:formatCode>General</c:formatCode>
                <c:ptCount val="10"/>
                <c:pt idx="0">
                  <c:v>3000</c:v>
                </c:pt>
                <c:pt idx="1">
                  <c:v>240</c:v>
                </c:pt>
                <c:pt idx="2">
                  <c:v>1200</c:v>
                </c:pt>
                <c:pt idx="3">
                  <c:v>3600</c:v>
                </c:pt>
                <c:pt idx="4">
                  <c:v>0</c:v>
                </c:pt>
                <c:pt idx="5">
                  <c:v>0</c:v>
                </c:pt>
                <c:pt idx="6">
                  <c:v>0</c:v>
                </c:pt>
                <c:pt idx="7">
                  <c:v>0</c:v>
                </c:pt>
                <c:pt idx="8">
                  <c:v>0</c:v>
                </c:pt>
                <c:pt idx="9">
                  <c:v>0</c:v>
                </c:pt>
              </c:numCache>
            </c:numRef>
          </c:val>
          <c:extLst>
            <c:ext xmlns:c16="http://schemas.microsoft.com/office/drawing/2014/chart" uri="{C3380CC4-5D6E-409C-BE32-E72D297353CC}">
              <c16:uniqueId val="{00000000-B6D6-4FF3-9885-709D593A99C9}"/>
            </c:ext>
          </c:extLst>
        </c:ser>
        <c:dLbls>
          <c:dLblPos val="outEnd"/>
          <c:showLegendKey val="0"/>
          <c:showVal val="1"/>
          <c:showCatName val="0"/>
          <c:showSerName val="0"/>
          <c:showPercent val="0"/>
          <c:showBubbleSize val="0"/>
        </c:dLbls>
        <c:gapWidth val="182"/>
        <c:axId val="687193040"/>
        <c:axId val="687192080"/>
      </c:barChart>
      <c:catAx>
        <c:axId val="687193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ysClr val="windowText" lastClr="000000"/>
                </a:solidFill>
                <a:latin typeface="Amasis MT Pro" panose="02040504050005020304" pitchFamily="18" charset="0"/>
                <a:ea typeface="+mn-ea"/>
                <a:cs typeface="+mn-cs"/>
              </a:defRPr>
            </a:pPr>
            <a:endParaRPr lang="en-US"/>
          </a:p>
        </c:txPr>
        <c:crossAx val="687192080"/>
        <c:crosses val="autoZero"/>
        <c:auto val="1"/>
        <c:lblAlgn val="ctr"/>
        <c:lblOffset val="100"/>
        <c:noMultiLvlLbl val="0"/>
      </c:catAx>
      <c:valAx>
        <c:axId val="687192080"/>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687193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ln w="38100" cap="rnd">
            <a:solidFill>
              <a:srgbClr val="632024"/>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ln w="38100" cap="rnd">
            <a:solidFill>
              <a:srgbClr val="BD3D4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D3D46">
              <a:alpha val="70000"/>
            </a:srgb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32024">
              <a:alpha val="70000"/>
            </a:srgb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427794923960853E-2"/>
          <c:y val="0.18915169252047065"/>
          <c:w val="0.94201092841315703"/>
          <c:h val="0.78962874135453287"/>
        </c:manualLayout>
      </c:layout>
      <c:areaChart>
        <c:grouping val="standard"/>
        <c:varyColors val="0"/>
        <c:ser>
          <c:idx val="2"/>
          <c:order val="2"/>
          <c:tx>
            <c:v>Total Budget - Expenses2</c:v>
          </c:tx>
          <c:spPr>
            <a:solidFill>
              <a:srgbClr val="BD3D46">
                <a:alpha val="70000"/>
              </a:srgbClr>
            </a:solidFill>
            <a:ln w="25400">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883</c:v>
              </c:pt>
              <c:pt idx="1">
                <c:v>886</c:v>
              </c:pt>
              <c:pt idx="2">
                <c:v>893</c:v>
              </c:pt>
              <c:pt idx="3">
                <c:v>886</c:v>
              </c:pt>
              <c:pt idx="4">
                <c:v>878</c:v>
              </c:pt>
              <c:pt idx="5">
                <c:v>878</c:v>
              </c:pt>
              <c:pt idx="6">
                <c:v>878</c:v>
              </c:pt>
              <c:pt idx="7">
                <c:v>878</c:v>
              </c:pt>
              <c:pt idx="8">
                <c:v>878</c:v>
              </c:pt>
              <c:pt idx="9">
                <c:v>878</c:v>
              </c:pt>
              <c:pt idx="10">
                <c:v>878</c:v>
              </c:pt>
              <c:pt idx="11">
                <c:v>878</c:v>
              </c:pt>
            </c:numLit>
          </c:val>
          <c:extLst>
            <c:ext xmlns:c16="http://schemas.microsoft.com/office/drawing/2014/chart" uri="{C3380CC4-5D6E-409C-BE32-E72D297353CC}">
              <c16:uniqueId val="{00000000-BDDC-4955-9245-B328CCBC4064}"/>
            </c:ext>
          </c:extLst>
        </c:ser>
        <c:ser>
          <c:idx val="3"/>
          <c:order val="3"/>
          <c:tx>
            <c:v>Total Actuals - Expenses2</c:v>
          </c:tx>
          <c:spPr>
            <a:solidFill>
              <a:srgbClr val="632024">
                <a:alpha val="70000"/>
              </a:srgbClr>
            </a:solidFill>
            <a:ln w="25400">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1741</c:v>
              </c:pt>
              <c:pt idx="1">
                <c:v>690</c:v>
              </c:pt>
              <c:pt idx="2">
                <c:v>750</c:v>
              </c:pt>
              <c:pt idx="3">
                <c:v>699</c:v>
              </c:pt>
              <c:pt idx="4">
                <c:v>740</c:v>
              </c:pt>
              <c:pt idx="5">
                <c:v>765</c:v>
              </c:pt>
              <c:pt idx="6">
                <c:v>675</c:v>
              </c:pt>
              <c:pt idx="7">
                <c:v>660</c:v>
              </c:pt>
              <c:pt idx="8">
                <c:v>720</c:v>
              </c:pt>
              <c:pt idx="9">
                <c:v>555</c:v>
              </c:pt>
              <c:pt idx="10">
                <c:v>575</c:v>
              </c:pt>
              <c:pt idx="11">
                <c:v>795</c:v>
              </c:pt>
            </c:numLit>
          </c:val>
          <c:extLst>
            <c:ext xmlns:c16="http://schemas.microsoft.com/office/drawing/2014/chart" uri="{C3380CC4-5D6E-409C-BE32-E72D297353CC}">
              <c16:uniqueId val="{00000002-BDDC-4955-9245-B328CCBC4064}"/>
            </c:ext>
          </c:extLst>
        </c:ser>
        <c:dLbls>
          <c:showLegendKey val="0"/>
          <c:showVal val="0"/>
          <c:showCatName val="0"/>
          <c:showSerName val="0"/>
          <c:showPercent val="0"/>
          <c:showBubbleSize val="0"/>
        </c:dLbls>
        <c:axId val="1412559568"/>
        <c:axId val="1412558608"/>
      </c:areaChart>
      <c:lineChart>
        <c:grouping val="standard"/>
        <c:varyColors val="0"/>
        <c:ser>
          <c:idx val="0"/>
          <c:order val="0"/>
          <c:tx>
            <c:v>Total Actuals - Expenses</c:v>
          </c:tx>
          <c:spPr>
            <a:ln w="38100" cap="rnd">
              <a:solidFill>
                <a:srgbClr val="632024"/>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1741</c:v>
              </c:pt>
              <c:pt idx="1">
                <c:v>690</c:v>
              </c:pt>
              <c:pt idx="2">
                <c:v>750</c:v>
              </c:pt>
              <c:pt idx="3">
                <c:v>699</c:v>
              </c:pt>
              <c:pt idx="4">
                <c:v>740</c:v>
              </c:pt>
              <c:pt idx="5">
                <c:v>765</c:v>
              </c:pt>
              <c:pt idx="6">
                <c:v>675</c:v>
              </c:pt>
              <c:pt idx="7">
                <c:v>660</c:v>
              </c:pt>
              <c:pt idx="8">
                <c:v>720</c:v>
              </c:pt>
              <c:pt idx="9">
                <c:v>555</c:v>
              </c:pt>
              <c:pt idx="10">
                <c:v>575</c:v>
              </c:pt>
              <c:pt idx="11">
                <c:v>795</c:v>
              </c:pt>
            </c:numLit>
          </c:val>
          <c:smooth val="1"/>
          <c:extLst>
            <c:ext xmlns:c16="http://schemas.microsoft.com/office/drawing/2014/chart" uri="{C3380CC4-5D6E-409C-BE32-E72D297353CC}">
              <c16:uniqueId val="{00000007-CFAC-4986-B18B-5499D878DEBA}"/>
            </c:ext>
          </c:extLst>
        </c:ser>
        <c:ser>
          <c:idx val="1"/>
          <c:order val="1"/>
          <c:tx>
            <c:v>Total Budget - Expenses</c:v>
          </c:tx>
          <c:spPr>
            <a:ln w="38100" cap="rnd">
              <a:solidFill>
                <a:srgbClr val="BD3D46"/>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883</c:v>
              </c:pt>
              <c:pt idx="1">
                <c:v>886</c:v>
              </c:pt>
              <c:pt idx="2">
                <c:v>893</c:v>
              </c:pt>
              <c:pt idx="3">
                <c:v>886</c:v>
              </c:pt>
              <c:pt idx="4">
                <c:v>878</c:v>
              </c:pt>
              <c:pt idx="5">
                <c:v>878</c:v>
              </c:pt>
              <c:pt idx="6">
                <c:v>878</c:v>
              </c:pt>
              <c:pt idx="7">
                <c:v>878</c:v>
              </c:pt>
              <c:pt idx="8">
                <c:v>878</c:v>
              </c:pt>
              <c:pt idx="9">
                <c:v>878</c:v>
              </c:pt>
              <c:pt idx="10">
                <c:v>878</c:v>
              </c:pt>
              <c:pt idx="11">
                <c:v>878</c:v>
              </c:pt>
            </c:numLit>
          </c:val>
          <c:smooth val="1"/>
          <c:extLst>
            <c:ext xmlns:c16="http://schemas.microsoft.com/office/drawing/2014/chart" uri="{C3380CC4-5D6E-409C-BE32-E72D297353CC}">
              <c16:uniqueId val="{00000008-CFAC-4986-B18B-5499D878DEBA}"/>
            </c:ext>
          </c:extLst>
        </c:ser>
        <c:dLbls>
          <c:showLegendKey val="0"/>
          <c:showVal val="0"/>
          <c:showCatName val="0"/>
          <c:showSerName val="0"/>
          <c:showPercent val="0"/>
          <c:showBubbleSize val="0"/>
        </c:dLbls>
        <c:marker val="1"/>
        <c:smooth val="0"/>
        <c:axId val="1412559568"/>
        <c:axId val="1412558608"/>
      </c:lineChart>
      <c:catAx>
        <c:axId val="1412559568"/>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12558608"/>
        <c:crosses val="autoZero"/>
        <c:auto val="1"/>
        <c:lblAlgn val="ctr"/>
        <c:lblOffset val="100"/>
        <c:noMultiLvlLbl val="0"/>
        <c:extLst>
          <c:ext xmlns:c15="http://schemas.microsoft.com/office/drawing/2012/chart" uri="{F40574EE-89B7-4290-83BB-5DA773EAF853}">
            <c15:numFmt c:formatCode="General" c:sourceLinked="1"/>
          </c:ext>
        </c:extLst>
      </c:catAx>
      <c:valAx>
        <c:axId val="1412558608"/>
        <c:scaling>
          <c:orientation val="minMax"/>
          <c:min val="0"/>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559568"/>
        <c:crosses val="autoZero"/>
        <c:crossBetween val="between"/>
        <c:extLst>
          <c:ext xmlns:c15="http://schemas.microsoft.com/office/drawing/2012/chart" uri="{F40574EE-89B7-4290-83BB-5DA773EAF853}">
            <c15:numFmt c:formatCode="General" c:sourceLinked="1"/>
          </c:ext>
        </c:extLst>
      </c:valAx>
      <c:spPr>
        <a:noFill/>
        <a:ln>
          <a:noFill/>
          <a:prstDash val="sysDash"/>
        </a:ln>
        <a:effectLst/>
      </c:spPr>
    </c:plotArea>
    <c:legend>
      <c:legendPos val="r"/>
      <c:legendEntry>
        <c:idx val="0"/>
        <c:delete val="1"/>
      </c:legendEntry>
      <c:legendEntry>
        <c:idx val="1"/>
        <c:delete val="1"/>
      </c:legendEntry>
      <c:layout>
        <c:manualLayout>
          <c:xMode val="edge"/>
          <c:yMode val="edge"/>
          <c:x val="2.5242257317254102E-2"/>
          <c:y val="8.5794763708200873E-3"/>
          <c:w val="0.95339245566891351"/>
          <c:h val="6.9038783464407338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Template.xlsm]PivotChartTable2</c15:name>
        <c15:fmtId val="0"/>
      </c15:pivotSource>
      <c15:pivotOptions>
        <c15:dropZonesVisible val="1"/>
      </c15: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74503A"/>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4503A">
              <a:alpha val="25000"/>
            </a:srgbClr>
          </a:solidFill>
          <a:ln w="25400">
            <a:solidFill>
              <a:srgbClr val="74503A"/>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4503A">
              <a:alpha val="25000"/>
            </a:srgbClr>
          </a:solidFill>
          <a:ln w="25400">
            <a:solidFill>
              <a:srgbClr val="74503A"/>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130220561857125E-2"/>
          <c:y val="0.147096324429692"/>
          <c:w val="0.84457126169693619"/>
          <c:h val="0.74140761268896405"/>
        </c:manualLayout>
      </c:layout>
      <c:barChart>
        <c:barDir val="col"/>
        <c:grouping val="clustered"/>
        <c:varyColors val="0"/>
        <c:ser>
          <c:idx val="1"/>
          <c:order val="1"/>
          <c:tx>
            <c:v>Total Actuals - Debt</c:v>
          </c:tx>
          <c:spPr>
            <a:solidFill>
              <a:srgbClr val="74503A"/>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Credit Card</c:v>
              </c:pt>
              <c:pt idx="1">
                <c:v>Student Loan</c:v>
              </c:pt>
            </c:strLit>
          </c:cat>
          <c:val>
            <c:numLit>
              <c:formatCode>General</c:formatCode>
              <c:ptCount val="2"/>
              <c:pt idx="0">
                <c:v>80</c:v>
              </c:pt>
              <c:pt idx="1">
                <c:v>2160</c:v>
              </c:pt>
            </c:numLit>
          </c:val>
          <c:extLst>
            <c:ext xmlns:c16="http://schemas.microsoft.com/office/drawing/2014/chart" uri="{C3380CC4-5D6E-409C-BE32-E72D297353CC}">
              <c16:uniqueId val="{00000008-B0C4-40CA-8E2B-6450E498441A}"/>
            </c:ext>
          </c:extLst>
        </c:ser>
        <c:dLbls>
          <c:showLegendKey val="0"/>
          <c:showVal val="0"/>
          <c:showCatName val="0"/>
          <c:showSerName val="0"/>
          <c:showPercent val="0"/>
          <c:showBubbleSize val="0"/>
        </c:dLbls>
        <c:gapWidth val="26"/>
        <c:overlap val="100"/>
        <c:axId val="936337152"/>
        <c:axId val="936335712"/>
      </c:barChart>
      <c:barChart>
        <c:barDir val="col"/>
        <c:grouping val="clustered"/>
        <c:varyColors val="0"/>
        <c:ser>
          <c:idx val="0"/>
          <c:order val="0"/>
          <c:tx>
            <c:v>Total Budget - Debt</c:v>
          </c:tx>
          <c:spPr>
            <a:solidFill>
              <a:srgbClr val="74503A">
                <a:alpha val="25000"/>
              </a:srgbClr>
            </a:solidFill>
            <a:ln w="25400">
              <a:solidFill>
                <a:srgbClr val="74503A"/>
              </a:solidFill>
              <a:prstDash val="sysDash"/>
            </a:ln>
            <a:effectLst/>
          </c:spPr>
          <c:invertIfNegative val="0"/>
          <c:cat>
            <c:strLit>
              <c:ptCount val="2"/>
              <c:pt idx="0">
                <c:v>Credit Card</c:v>
              </c:pt>
              <c:pt idx="1">
                <c:v>Student Loan</c:v>
              </c:pt>
            </c:strLit>
          </c:cat>
          <c:val>
            <c:numLit>
              <c:formatCode>General</c:formatCode>
              <c:ptCount val="2"/>
              <c:pt idx="0">
                <c:v>180</c:v>
              </c:pt>
              <c:pt idx="1">
                <c:v>960</c:v>
              </c:pt>
            </c:numLit>
          </c:val>
          <c:extLst>
            <c:ext xmlns:c16="http://schemas.microsoft.com/office/drawing/2014/chart" uri="{C3380CC4-5D6E-409C-BE32-E72D297353CC}">
              <c16:uniqueId val="{00000007-B0C4-40CA-8E2B-6450E498441A}"/>
            </c:ext>
          </c:extLst>
        </c:ser>
        <c:dLbls>
          <c:showLegendKey val="0"/>
          <c:showVal val="0"/>
          <c:showCatName val="0"/>
          <c:showSerName val="0"/>
          <c:showPercent val="0"/>
          <c:showBubbleSize val="0"/>
        </c:dLbls>
        <c:gapWidth val="0"/>
        <c:overlap val="100"/>
        <c:axId val="1190119263"/>
        <c:axId val="1190097663"/>
      </c:barChart>
      <c:catAx>
        <c:axId val="9363371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936335712"/>
        <c:crosses val="autoZero"/>
        <c:auto val="1"/>
        <c:lblAlgn val="ctr"/>
        <c:lblOffset val="100"/>
        <c:noMultiLvlLbl val="0"/>
        <c:extLst>
          <c:ext xmlns:c15="http://schemas.microsoft.com/office/drawing/2012/chart" uri="{F40574EE-89B7-4290-83BB-5DA773EAF853}">
            <c15:numFmt c:formatCode="General" c:sourceLinked="1"/>
          </c:ext>
        </c:extLst>
      </c:catAx>
      <c:valAx>
        <c:axId val="936335712"/>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337152"/>
        <c:crosses val="autoZero"/>
        <c:crossBetween val="between"/>
        <c:extLst>
          <c:ext xmlns:c15="http://schemas.microsoft.com/office/drawing/2012/chart" uri="{F40574EE-89B7-4290-83BB-5DA773EAF853}">
            <c15:numFmt c:formatCode="General" c:sourceLinked="1"/>
          </c:ext>
        </c:extLst>
      </c:valAx>
      <c:valAx>
        <c:axId val="1190097663"/>
        <c:scaling>
          <c:orientation val="minMax"/>
        </c:scaling>
        <c:delete val="1"/>
        <c:axPos val="r"/>
        <c:numFmt formatCode="General" sourceLinked="0"/>
        <c:majorTickMark val="out"/>
        <c:minorTickMark val="none"/>
        <c:tickLblPos val="nextTo"/>
        <c:crossAx val="1190119263"/>
        <c:crosses val="max"/>
        <c:crossBetween val="between"/>
        <c:extLst>
          <c:ext xmlns:c15="http://schemas.microsoft.com/office/drawing/2012/chart" uri="{F40574EE-89B7-4290-83BB-5DA773EAF853}">
            <c15:numFmt c:formatCode="General" c:sourceLinked="1"/>
          </c:ext>
        </c:extLst>
      </c:valAx>
      <c:catAx>
        <c:axId val="1190119263"/>
        <c:scaling>
          <c:orientation val="minMax"/>
        </c:scaling>
        <c:delete val="1"/>
        <c:axPos val="b"/>
        <c:numFmt formatCode="General" sourceLinked="0"/>
        <c:majorTickMark val="out"/>
        <c:minorTickMark val="none"/>
        <c:tickLblPos val="nextTo"/>
        <c:crossAx val="1190097663"/>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ayout>
        <c:manualLayout>
          <c:xMode val="edge"/>
          <c:yMode val="edge"/>
          <c:x val="0.13173369773117713"/>
          <c:y val="1.463957141991726E-3"/>
          <c:w val="0.66917025288192433"/>
          <c:h val="6.779808638581579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Template.xlsm]PivotChartTable4</c15:name>
        <c15:fmtId val="0"/>
      </c15:pivotSource>
      <c15:pivotOptions>
        <c15:dropZonesVisible val="1"/>
      </c15: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A7B5C5"/>
          </a:solidFill>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ln>
                    <a:noFill/>
                  </a:ln>
                  <a:solidFill>
                    <a:schemeClr val="tx1"/>
                  </a:solidFill>
                  <a:effectLst>
                    <a:outerShdw blurRad="12700" dist="50800" dir="5400000" algn="ctr" rotWithShape="0">
                      <a:srgbClr val="000000">
                        <a:alpha val="43137"/>
                      </a:srgbClr>
                    </a:outerShdw>
                  </a:effectLst>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rgbClr val="617891"/>
          </a:solidFill>
          <a:ln>
            <a:noFill/>
          </a:ln>
          <a:effectLst/>
        </c:spPr>
      </c:pivotFmt>
      <c:pivotFmt>
        <c:idx val="2"/>
        <c:spPr>
          <a:solidFill>
            <a:srgbClr val="A7B5C5"/>
          </a:solidFill>
          <a:ln>
            <a:noFill/>
          </a:ln>
          <a:effectLst/>
        </c:spPr>
      </c:pivotFmt>
    </c:pivotFmts>
    <c:plotArea>
      <c:layout>
        <c:manualLayout>
          <c:layoutTarget val="inner"/>
          <c:xMode val="edge"/>
          <c:yMode val="edge"/>
          <c:x val="0.24834265106579059"/>
          <c:y val="0.12937228962608083"/>
          <c:w val="0.58826498405908656"/>
          <c:h val="0.6968325006665016"/>
        </c:manualLayout>
      </c:layout>
      <c:doughnutChart>
        <c:varyColors val="1"/>
        <c:ser>
          <c:idx val="0"/>
          <c:order val="0"/>
          <c:tx>
            <c:v>Total</c:v>
          </c:tx>
          <c:spPr>
            <a:solidFill>
              <a:srgbClr val="A7B5C5"/>
            </a:solidFill>
          </c:spPr>
          <c:dPt>
            <c:idx val="0"/>
            <c:bubble3D val="0"/>
            <c:spPr>
              <a:solidFill>
                <a:srgbClr val="617891"/>
              </a:solidFill>
              <a:ln>
                <a:noFill/>
              </a:ln>
              <a:effectLst/>
            </c:spPr>
            <c:extLst>
              <c:ext xmlns:c16="http://schemas.microsoft.com/office/drawing/2014/chart" uri="{C3380CC4-5D6E-409C-BE32-E72D297353CC}">
                <c16:uniqueId val="{00000001-9781-480F-9DC4-F99764C91A37}"/>
              </c:ext>
            </c:extLst>
          </c:dPt>
          <c:dPt>
            <c:idx val="1"/>
            <c:bubble3D val="0"/>
            <c:spPr>
              <a:solidFill>
                <a:srgbClr val="A7B5C5"/>
              </a:solidFill>
              <a:ln>
                <a:noFill/>
              </a:ln>
              <a:effectLst/>
            </c:spPr>
            <c:extLst>
              <c:ext xmlns:c16="http://schemas.microsoft.com/office/drawing/2014/chart" uri="{C3380CC4-5D6E-409C-BE32-E72D297353CC}">
                <c16:uniqueId val="{00000003-9781-480F-9DC4-F99764C91A37}"/>
              </c:ext>
            </c:extLst>
          </c:dPt>
          <c:dLbls>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ln>
                      <a:noFill/>
                    </a:ln>
                    <a:solidFill>
                      <a:schemeClr val="tx1"/>
                    </a:solidFill>
                    <a:effectLst>
                      <a:outerShdw blurRad="12700" dist="50800" dir="5400000" algn="ctr" rotWithShape="0">
                        <a:srgbClr val="000000">
                          <a:alpha val="43137"/>
                        </a:srgbClr>
                      </a:outerShdw>
                    </a:effectLst>
                    <a:latin typeface="+mn-lt"/>
                    <a:ea typeface="+mn-ea"/>
                    <a:cs typeface="+mn-cs"/>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15:spPr xmlns:c15="http://schemas.microsoft.com/office/drawing/2012/chart">
                  <a:prstGeom prst="rect">
                    <a:avLst/>
                  </a:prstGeom>
                </c15:spPr>
              </c:ext>
            </c:extLst>
          </c:dLbls>
          <c:cat>
            <c:strLit>
              <c:ptCount val="2"/>
              <c:pt idx="0">
                <c:v>Long Term</c:v>
              </c:pt>
              <c:pt idx="1">
                <c:v>Short Term</c:v>
              </c:pt>
            </c:strLit>
          </c:cat>
          <c:val>
            <c:numLit>
              <c:formatCode>General</c:formatCode>
              <c:ptCount val="2"/>
              <c:pt idx="0">
                <c:v>1250</c:v>
              </c:pt>
              <c:pt idx="1">
                <c:v>587</c:v>
              </c:pt>
            </c:numLit>
          </c:val>
          <c:extLst>
            <c:ext xmlns:c16="http://schemas.microsoft.com/office/drawing/2014/chart" uri="{C3380CC4-5D6E-409C-BE32-E72D297353CC}">
              <c16:uniqueId val="{00000004-B910-457A-92B8-A88EB5CC7A29}"/>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Template.xlsm]PivotChartTable7</c15:name>
        <c15:fmtId val="0"/>
      </c15:pivotSource>
      <c15:pivotOptions>
        <c15:dropZonesVisible val="1"/>
      </c15: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6178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28466783880356"/>
          <c:y val="7.5355212374179428E-2"/>
          <c:w val="0.93319250844253943"/>
          <c:h val="0.82857656327013174"/>
        </c:manualLayout>
      </c:layout>
      <c:barChart>
        <c:barDir val="col"/>
        <c:grouping val="clustered"/>
        <c:varyColors val="0"/>
        <c:ser>
          <c:idx val="0"/>
          <c:order val="0"/>
          <c:tx>
            <c:v>Long Term</c:v>
          </c:tx>
          <c:spPr>
            <a:solidFill>
              <a:srgbClr val="617891"/>
            </a:solidFill>
            <a:ln>
              <a:noFill/>
            </a:ln>
            <a:effectLst/>
          </c:spPr>
          <c:invertIfNegative val="0"/>
          <c:cat>
            <c:strLit>
              <c:ptCount val="11"/>
              <c:pt idx="0">
                <c:v>1</c:v>
              </c:pt>
              <c:pt idx="1">
                <c:v>2</c:v>
              </c:pt>
              <c:pt idx="2">
                <c:v>3</c:v>
              </c:pt>
              <c:pt idx="3">
                <c:v>4</c:v>
              </c:pt>
              <c:pt idx="4">
                <c:v>5</c:v>
              </c:pt>
              <c:pt idx="5">
                <c:v>6</c:v>
              </c:pt>
              <c:pt idx="6">
                <c:v>7</c:v>
              </c:pt>
              <c:pt idx="7">
                <c:v>8</c:v>
              </c:pt>
              <c:pt idx="8">
                <c:v>9</c:v>
              </c:pt>
              <c:pt idx="9">
                <c:v>10</c:v>
              </c:pt>
              <c:pt idx="10">
                <c:v>12</c:v>
              </c:pt>
            </c:strLit>
          </c:cat>
          <c:val>
            <c:numLit>
              <c:formatCode>General</c:formatCode>
              <c:ptCount val="11"/>
              <c:pt idx="0">
                <c:v>550</c:v>
              </c:pt>
              <c:pt idx="1">
                <c:v>100</c:v>
              </c:pt>
              <c:pt idx="2">
                <c:v>50</c:v>
              </c:pt>
              <c:pt idx="4">
                <c:v>200</c:v>
              </c:pt>
              <c:pt idx="7">
                <c:v>100</c:v>
              </c:pt>
              <c:pt idx="8">
                <c:v>100</c:v>
              </c:pt>
              <c:pt idx="9">
                <c:v>50</c:v>
              </c:pt>
              <c:pt idx="10">
                <c:v>100</c:v>
              </c:pt>
            </c:numLit>
          </c:val>
          <c:extLst>
            <c:ext xmlns:c16="http://schemas.microsoft.com/office/drawing/2014/chart" uri="{C3380CC4-5D6E-409C-BE32-E72D297353CC}">
              <c16:uniqueId val="{00000000-EB97-4E14-9FA5-F3AA2D2823B5}"/>
            </c:ext>
          </c:extLst>
        </c:ser>
        <c:ser>
          <c:idx val="1"/>
          <c:order val="1"/>
          <c:tx>
            <c:v>Short Term</c:v>
          </c:tx>
          <c:spPr>
            <a:solidFill>
              <a:schemeClr val="bg1">
                <a:lumMod val="65000"/>
              </a:schemeClr>
            </a:solidFill>
            <a:ln>
              <a:noFill/>
            </a:ln>
            <a:effectLst/>
          </c:spPr>
          <c:invertIfNegative val="0"/>
          <c:cat>
            <c:strLit>
              <c:ptCount val="11"/>
              <c:pt idx="0">
                <c:v>1</c:v>
              </c:pt>
              <c:pt idx="1">
                <c:v>2</c:v>
              </c:pt>
              <c:pt idx="2">
                <c:v>3</c:v>
              </c:pt>
              <c:pt idx="3">
                <c:v>4</c:v>
              </c:pt>
              <c:pt idx="4">
                <c:v>5</c:v>
              </c:pt>
              <c:pt idx="5">
                <c:v>6</c:v>
              </c:pt>
              <c:pt idx="6">
                <c:v>7</c:v>
              </c:pt>
              <c:pt idx="7">
                <c:v>8</c:v>
              </c:pt>
              <c:pt idx="8">
                <c:v>9</c:v>
              </c:pt>
              <c:pt idx="9">
                <c:v>10</c:v>
              </c:pt>
              <c:pt idx="10">
                <c:v>12</c:v>
              </c:pt>
            </c:strLit>
          </c:cat>
          <c:val>
            <c:numLit>
              <c:formatCode>General</c:formatCode>
              <c:ptCount val="11"/>
              <c:pt idx="3">
                <c:v>40</c:v>
              </c:pt>
              <c:pt idx="5">
                <c:v>150</c:v>
              </c:pt>
              <c:pt idx="6">
                <c:v>120</c:v>
              </c:pt>
              <c:pt idx="10">
                <c:v>277</c:v>
              </c:pt>
            </c:numLit>
          </c:val>
          <c:extLst>
            <c:ext xmlns:c16="http://schemas.microsoft.com/office/drawing/2014/chart" uri="{C3380CC4-5D6E-409C-BE32-E72D297353CC}">
              <c16:uniqueId val="{00000000-9769-4E08-BEF7-8D96EBCD4540}"/>
            </c:ext>
          </c:extLst>
        </c:ser>
        <c:dLbls>
          <c:showLegendKey val="0"/>
          <c:showVal val="0"/>
          <c:showCatName val="0"/>
          <c:showSerName val="0"/>
          <c:showPercent val="0"/>
          <c:showBubbleSize val="0"/>
        </c:dLbls>
        <c:gapWidth val="500"/>
        <c:axId val="880646367"/>
        <c:axId val="880644447"/>
      </c:barChart>
      <c:catAx>
        <c:axId val="88064636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44447"/>
        <c:crosses val="autoZero"/>
        <c:auto val="1"/>
        <c:lblAlgn val="ctr"/>
        <c:lblOffset val="100"/>
        <c:noMultiLvlLbl val="0"/>
        <c:extLst>
          <c:ext xmlns:c15="http://schemas.microsoft.com/office/drawing/2012/chart" uri="{F40574EE-89B7-4290-83BB-5DA773EAF853}">
            <c15:numFmt c:formatCode="General" c:sourceLinked="1"/>
          </c:ext>
        </c:extLst>
      </c:catAx>
      <c:valAx>
        <c:axId val="880644447"/>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463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10853697656462666"/>
          <c:y val="2.0172929080280445E-2"/>
          <c:w val="0.89146302343537331"/>
          <c:h val="5.5398472918157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Template.xlsm]PivotChartTable8</c15:name>
        <c15:fmtId val="0"/>
      </c15:pivotSource>
      <c15:pivotOptions>
        <c15:dropZonesVisible val="1"/>
      </c15: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74503A"/>
          </a:solidFill>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rgbClr val="B98E73"/>
          </a:solidFill>
          <a:ln>
            <a:noFill/>
          </a:ln>
          <a:effectLst/>
        </c:spPr>
      </c:pivotFmt>
      <c:pivotFmt>
        <c:idx val="2"/>
        <c:spPr>
          <a:solidFill>
            <a:srgbClr val="74503A"/>
          </a:solidFill>
          <a:ln>
            <a:noFill/>
          </a:ln>
          <a:effectLst/>
        </c:spPr>
      </c:pivotFmt>
    </c:pivotFmts>
    <c:plotArea>
      <c:layout>
        <c:manualLayout>
          <c:layoutTarget val="inner"/>
          <c:xMode val="edge"/>
          <c:yMode val="edge"/>
          <c:x val="0.24463342093002854"/>
          <c:y val="0.14302491770246364"/>
          <c:w val="0.46840698154628646"/>
          <c:h val="0.74159305771956752"/>
        </c:manualLayout>
      </c:layout>
      <c:doughnutChart>
        <c:varyColors val="1"/>
        <c:ser>
          <c:idx val="0"/>
          <c:order val="0"/>
          <c:tx>
            <c:v>Total</c:v>
          </c:tx>
          <c:spPr>
            <a:solidFill>
              <a:srgbClr val="74503A"/>
            </a:solidFill>
          </c:spPr>
          <c:dPt>
            <c:idx val="0"/>
            <c:bubble3D val="0"/>
            <c:spPr>
              <a:solidFill>
                <a:srgbClr val="B98E73"/>
              </a:solidFill>
              <a:ln>
                <a:noFill/>
              </a:ln>
              <a:effectLst/>
            </c:spPr>
            <c:extLst>
              <c:ext xmlns:c16="http://schemas.microsoft.com/office/drawing/2014/chart" uri="{C3380CC4-5D6E-409C-BE32-E72D297353CC}">
                <c16:uniqueId val="{00000001-CAE2-4921-B77F-9303020FC87A}"/>
              </c:ext>
            </c:extLst>
          </c:dPt>
          <c:dPt>
            <c:idx val="1"/>
            <c:bubble3D val="0"/>
            <c:spPr>
              <a:solidFill>
                <a:srgbClr val="74503A"/>
              </a:solidFill>
              <a:ln>
                <a:noFill/>
              </a:ln>
              <a:effectLst/>
            </c:spPr>
            <c:extLst>
              <c:ext xmlns:c16="http://schemas.microsoft.com/office/drawing/2014/chart" uri="{C3380CC4-5D6E-409C-BE32-E72D297353CC}">
                <c16:uniqueId val="{00000003-CAE2-4921-B77F-9303020FC87A}"/>
              </c:ext>
            </c:extLst>
          </c:dPt>
          <c:dLbls>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15:spPr xmlns:c15="http://schemas.microsoft.com/office/drawing/2012/chart">
                  <a:prstGeom prst="rect">
                    <a:avLst/>
                  </a:prstGeom>
                </c15:spPr>
              </c:ext>
            </c:extLst>
          </c:dLbls>
          <c:cat>
            <c:strLit>
              <c:ptCount val="2"/>
              <c:pt idx="0">
                <c:v>High Priority</c:v>
              </c:pt>
              <c:pt idx="1">
                <c:v>Low Priority</c:v>
              </c:pt>
            </c:strLit>
          </c:cat>
          <c:val>
            <c:numLit>
              <c:formatCode>General</c:formatCode>
              <c:ptCount val="2"/>
              <c:pt idx="0">
                <c:v>2160</c:v>
              </c:pt>
              <c:pt idx="1">
                <c:v>80</c:v>
              </c:pt>
            </c:numLit>
          </c:val>
          <c:extLst>
            <c:ext xmlns:c16="http://schemas.microsoft.com/office/drawing/2014/chart" uri="{C3380CC4-5D6E-409C-BE32-E72D297353CC}">
              <c16:uniqueId val="{00000004-D496-42CB-8BA3-FFBEBB3BAF5D}"/>
            </c:ext>
          </c:extLst>
        </c:ser>
        <c:dLbls>
          <c:showLegendKey val="0"/>
          <c:showVal val="1"/>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Template.xlsm]PivotChartTable5</c15:name>
        <c15:fmtId val="0"/>
      </c15:pivotSource>
      <c15:pivotOptions>
        <c15:dropZonesVisible val="1"/>
      </c15: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74503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08011066590727"/>
          <c:y val="7.6520858293355448E-2"/>
          <c:w val="0.81451965467522658"/>
          <c:h val="0.81275623251543128"/>
        </c:manualLayout>
      </c:layout>
      <c:barChart>
        <c:barDir val="col"/>
        <c:grouping val="clustered"/>
        <c:varyColors val="0"/>
        <c:ser>
          <c:idx val="0"/>
          <c:order val="0"/>
          <c:tx>
            <c:v>High Priority</c:v>
          </c:tx>
          <c:spPr>
            <a:solidFill>
              <a:srgbClr val="74503A"/>
            </a:solidFill>
            <a:ln>
              <a:noFill/>
            </a:ln>
            <a:effectLst/>
          </c:spPr>
          <c:invertIfNegative val="0"/>
          <c:cat>
            <c:strLit>
              <c:ptCount val="5"/>
              <c:pt idx="0">
                <c:v>1</c:v>
              </c:pt>
              <c:pt idx="1">
                <c:v>2</c:v>
              </c:pt>
              <c:pt idx="2">
                <c:v>3</c:v>
              </c:pt>
              <c:pt idx="3">
                <c:v>5</c:v>
              </c:pt>
              <c:pt idx="4">
                <c:v>11</c:v>
              </c:pt>
            </c:strLit>
          </c:cat>
          <c:val>
            <c:numLit>
              <c:formatCode>General</c:formatCode>
              <c:ptCount val="5"/>
              <c:pt idx="0">
                <c:v>2000</c:v>
              </c:pt>
              <c:pt idx="2">
                <c:v>80</c:v>
              </c:pt>
              <c:pt idx="4">
                <c:v>80</c:v>
              </c:pt>
            </c:numLit>
          </c:val>
          <c:extLst>
            <c:ext xmlns:c16="http://schemas.microsoft.com/office/drawing/2014/chart" uri="{C3380CC4-5D6E-409C-BE32-E72D297353CC}">
              <c16:uniqueId val="{00000000-3573-44A3-9837-9C24F8DD74B3}"/>
            </c:ext>
          </c:extLst>
        </c:ser>
        <c:ser>
          <c:idx val="1"/>
          <c:order val="1"/>
          <c:tx>
            <c:v>Low Priority</c:v>
          </c:tx>
          <c:spPr>
            <a:solidFill>
              <a:schemeClr val="bg1">
                <a:lumMod val="65000"/>
              </a:schemeClr>
            </a:solidFill>
            <a:ln>
              <a:noFill/>
            </a:ln>
            <a:effectLst/>
          </c:spPr>
          <c:invertIfNegative val="0"/>
          <c:cat>
            <c:strLit>
              <c:ptCount val="5"/>
              <c:pt idx="0">
                <c:v>1</c:v>
              </c:pt>
              <c:pt idx="1">
                <c:v>2</c:v>
              </c:pt>
              <c:pt idx="2">
                <c:v>3</c:v>
              </c:pt>
              <c:pt idx="3">
                <c:v>5</c:v>
              </c:pt>
              <c:pt idx="4">
                <c:v>11</c:v>
              </c:pt>
            </c:strLit>
          </c:cat>
          <c:val>
            <c:numLit>
              <c:formatCode>General</c:formatCode>
              <c:ptCount val="5"/>
              <c:pt idx="1">
                <c:v>40</c:v>
              </c:pt>
              <c:pt idx="3">
                <c:v>40</c:v>
              </c:pt>
            </c:numLit>
          </c:val>
          <c:extLst>
            <c:ext xmlns:c16="http://schemas.microsoft.com/office/drawing/2014/chart" uri="{C3380CC4-5D6E-409C-BE32-E72D297353CC}">
              <c16:uniqueId val="{00000000-A764-4C60-BD50-BC9FA5C3B034}"/>
            </c:ext>
          </c:extLst>
        </c:ser>
        <c:dLbls>
          <c:showLegendKey val="0"/>
          <c:showVal val="0"/>
          <c:showCatName val="0"/>
          <c:showSerName val="0"/>
          <c:showPercent val="0"/>
          <c:showBubbleSize val="0"/>
        </c:dLbls>
        <c:gapWidth val="500"/>
        <c:axId val="880601247"/>
        <c:axId val="880603167"/>
      </c:barChart>
      <c:catAx>
        <c:axId val="88060124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03167"/>
        <c:crosses val="autoZero"/>
        <c:auto val="1"/>
        <c:lblAlgn val="ctr"/>
        <c:lblOffset val="100"/>
        <c:noMultiLvlLbl val="0"/>
        <c:extLst>
          <c:ext xmlns:c15="http://schemas.microsoft.com/office/drawing/2012/chart" uri="{F40574EE-89B7-4290-83BB-5DA773EAF853}">
            <c15:numFmt c:formatCode="General" c:sourceLinked="1"/>
          </c:ext>
        </c:extLst>
      </c:catAx>
      <c:valAx>
        <c:axId val="880603167"/>
        <c:scaling>
          <c:orientation val="minMax"/>
        </c:scaling>
        <c:delete val="0"/>
        <c:axPos val="l"/>
        <c:majorGridlines>
          <c:spPr>
            <a:ln w="9525" cap="flat" cmpd="sng" algn="ctr">
              <a:no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0124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137035276529968"/>
          <c:y val="1.6253998415970541E-2"/>
          <c:w val="0.83203233808062049"/>
          <c:h val="5.14772232549339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Template.xlsm]PivotChartTable9</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3683195397275345E-2"/>
          <c:w val="0.97164072094531495"/>
          <c:h val="0.86117059917258865"/>
        </c:manualLayout>
      </c:layout>
      <c:barChart>
        <c:barDir val="bar"/>
        <c:grouping val="stacked"/>
        <c:varyColors val="0"/>
        <c:ser>
          <c:idx val="0"/>
          <c:order val="0"/>
          <c:tx>
            <c:strRef>
              <c:f>Backend!$AQ$3</c:f>
              <c:strCache>
                <c:ptCount val="1"/>
                <c:pt idx="0">
                  <c:v>Active</c:v>
                </c:pt>
              </c:strCache>
            </c:strRef>
          </c:tx>
          <c:spPr>
            <a:solidFill>
              <a:srgbClr val="25344F"/>
            </a:solidFill>
            <a:ln>
              <a:noFill/>
            </a:ln>
            <a:effectLst/>
          </c:spPr>
          <c:invertIfNegative val="0"/>
          <c:dLbls>
            <c:dLbl>
              <c:idx val="0"/>
              <c:dLblPos val="inEnd"/>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B7D9-478C-87EE-87C8445821B6}"/>
                </c:ext>
              </c:extLst>
            </c:dLbl>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rgbClr val="F5F5F5"/>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Backend!$AR$2</c:f>
              <c:strCache>
                <c:ptCount val="1"/>
                <c:pt idx="0">
                  <c:v>Amount</c:v>
                </c:pt>
              </c:strCache>
            </c:strRef>
          </c:cat>
          <c:val>
            <c:numRef>
              <c:f>Backend!$AR$3</c:f>
              <c:numCache>
                <c:formatCode>General</c:formatCode>
                <c:ptCount val="1"/>
                <c:pt idx="0">
                  <c:v>7320</c:v>
                </c:pt>
              </c:numCache>
            </c:numRef>
          </c:val>
          <c:extLst>
            <c:ext xmlns:c16="http://schemas.microsoft.com/office/drawing/2014/chart" uri="{C3380CC4-5D6E-409C-BE32-E72D297353CC}">
              <c16:uniqueId val="{00000000-5EC4-4ADF-BAC9-9D88B11A6633}"/>
            </c:ext>
          </c:extLst>
        </c:ser>
        <c:dLbls>
          <c:dLblPos val="ctr"/>
          <c:showLegendKey val="0"/>
          <c:showVal val="1"/>
          <c:showCatName val="0"/>
          <c:showSerName val="0"/>
          <c:showPercent val="0"/>
          <c:showBubbleSize val="0"/>
        </c:dLbls>
        <c:gapWidth val="150"/>
        <c:overlap val="100"/>
        <c:axId val="599111568"/>
        <c:axId val="599119248"/>
      </c:barChart>
      <c:barChart>
        <c:barDir val="bar"/>
        <c:grouping val="stacked"/>
        <c:varyColors val="0"/>
        <c:ser>
          <c:idx val="1"/>
          <c:order val="1"/>
          <c:tx>
            <c:strRef>
              <c:f>Backend!$AQ$4</c:f>
              <c:strCache>
                <c:ptCount val="1"/>
                <c:pt idx="0">
                  <c:v>Passive</c:v>
                </c:pt>
              </c:strCache>
            </c:strRef>
          </c:tx>
          <c:spPr>
            <a:solidFill>
              <a:srgbClr val="6582B7"/>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Backend!$AR$2</c:f>
              <c:strCache>
                <c:ptCount val="1"/>
                <c:pt idx="0">
                  <c:v>Amount</c:v>
                </c:pt>
              </c:strCache>
            </c:strRef>
          </c:cat>
          <c:val>
            <c:numRef>
              <c:f>Backend!$AR$4</c:f>
              <c:numCache>
                <c:formatCode>General</c:formatCode>
                <c:ptCount val="1"/>
                <c:pt idx="0">
                  <c:v>2150</c:v>
                </c:pt>
              </c:numCache>
            </c:numRef>
          </c:val>
          <c:extLst>
            <c:ext xmlns:c16="http://schemas.microsoft.com/office/drawing/2014/chart" uri="{C3380CC4-5D6E-409C-BE32-E72D297353CC}">
              <c16:uniqueId val="{00000000-CB3F-4B65-8172-A2D96FA2C302}"/>
            </c:ext>
          </c:extLst>
        </c:ser>
        <c:dLbls>
          <c:showLegendKey val="0"/>
          <c:showVal val="0"/>
          <c:showCatName val="0"/>
          <c:showSerName val="0"/>
          <c:showPercent val="0"/>
          <c:showBubbleSize val="0"/>
        </c:dLbls>
        <c:gapWidth val="150"/>
        <c:overlap val="100"/>
        <c:axId val="1190095743"/>
        <c:axId val="1190067423"/>
      </c:barChart>
      <c:catAx>
        <c:axId val="599111568"/>
        <c:scaling>
          <c:orientation val="minMax"/>
        </c:scaling>
        <c:delete val="1"/>
        <c:axPos val="l"/>
        <c:numFmt formatCode="General" sourceLinked="1"/>
        <c:majorTickMark val="none"/>
        <c:minorTickMark val="none"/>
        <c:tickLblPos val="nextTo"/>
        <c:crossAx val="599119248"/>
        <c:crosses val="autoZero"/>
        <c:auto val="1"/>
        <c:lblAlgn val="ctr"/>
        <c:lblOffset val="100"/>
        <c:noMultiLvlLbl val="0"/>
      </c:catAx>
      <c:valAx>
        <c:axId val="599119248"/>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599111568"/>
        <c:crosses val="autoZero"/>
        <c:crossBetween val="between"/>
      </c:valAx>
      <c:valAx>
        <c:axId val="1190067423"/>
        <c:scaling>
          <c:orientation val="minMax"/>
        </c:scaling>
        <c:delete val="1"/>
        <c:axPos val="t"/>
        <c:numFmt formatCode="General" sourceLinked="1"/>
        <c:majorTickMark val="out"/>
        <c:minorTickMark val="none"/>
        <c:tickLblPos val="nextTo"/>
        <c:crossAx val="1190095743"/>
        <c:crosses val="max"/>
        <c:crossBetween val="between"/>
      </c:valAx>
      <c:catAx>
        <c:axId val="1190095743"/>
        <c:scaling>
          <c:orientation val="minMax"/>
        </c:scaling>
        <c:delete val="1"/>
        <c:axPos val="l"/>
        <c:numFmt formatCode="General" sourceLinked="1"/>
        <c:majorTickMark val="out"/>
        <c:minorTickMark val="none"/>
        <c:tickLblPos val="nextTo"/>
        <c:crossAx val="1190067423"/>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25344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9815170434415"/>
          <c:y val="7.407407407407407E-2"/>
          <c:w val="0.77593012719934185"/>
          <c:h val="0.84204505686789155"/>
        </c:manualLayout>
      </c:layout>
      <c:barChart>
        <c:barDir val="col"/>
        <c:grouping val="clustered"/>
        <c:varyColors val="0"/>
        <c:ser>
          <c:idx val="0"/>
          <c:order val="0"/>
          <c:tx>
            <c:v>Active</c:v>
          </c:tx>
          <c:spPr>
            <a:solidFill>
              <a:srgbClr val="25344F"/>
            </a:solidFill>
            <a:ln>
              <a:noFill/>
            </a:ln>
            <a:effectLst/>
          </c:spPr>
          <c:invertIfNegative val="0"/>
          <c:cat>
            <c:strLit>
              <c:ptCount val="12"/>
              <c:pt idx="0">
                <c:v>1</c:v>
              </c:pt>
              <c:pt idx="1">
                <c:v>2</c:v>
              </c:pt>
              <c:pt idx="2">
                <c:v>3</c:v>
              </c:pt>
              <c:pt idx="3">
                <c:v>4</c:v>
              </c:pt>
              <c:pt idx="4">
                <c:v>5</c:v>
              </c:pt>
              <c:pt idx="5">
                <c:v>6</c:v>
              </c:pt>
              <c:pt idx="6">
                <c:v>7</c:v>
              </c:pt>
              <c:pt idx="7">
                <c:v>8</c:v>
              </c:pt>
              <c:pt idx="8">
                <c:v>9</c:v>
              </c:pt>
              <c:pt idx="9">
                <c:v>10</c:v>
              </c:pt>
              <c:pt idx="10">
                <c:v>11</c:v>
              </c:pt>
              <c:pt idx="11">
                <c:v>12</c:v>
              </c:pt>
            </c:strLit>
          </c:cat>
          <c:val>
            <c:numLit>
              <c:formatCode>General</c:formatCode>
              <c:ptCount val="12"/>
              <c:pt idx="0">
                <c:v>450</c:v>
              </c:pt>
              <c:pt idx="1">
                <c:v>450</c:v>
              </c:pt>
              <c:pt idx="2">
                <c:v>570</c:v>
              </c:pt>
              <c:pt idx="3">
                <c:v>450</c:v>
              </c:pt>
              <c:pt idx="4">
                <c:v>900</c:v>
              </c:pt>
              <c:pt idx="5">
                <c:v>900</c:v>
              </c:pt>
              <c:pt idx="6">
                <c:v>900</c:v>
              </c:pt>
              <c:pt idx="7">
                <c:v>900</c:v>
              </c:pt>
              <c:pt idx="8">
                <c:v>450</c:v>
              </c:pt>
              <c:pt idx="9">
                <c:v>450</c:v>
              </c:pt>
              <c:pt idx="10">
                <c:v>450</c:v>
              </c:pt>
              <c:pt idx="11">
                <c:v>450</c:v>
              </c:pt>
            </c:numLit>
          </c:val>
          <c:extLst>
            <c:ext xmlns:c16="http://schemas.microsoft.com/office/drawing/2014/chart" uri="{C3380CC4-5D6E-409C-BE32-E72D297353CC}">
              <c16:uniqueId val="{00000005-1E64-4FF3-B50B-8DA3BEE9EAF1}"/>
            </c:ext>
          </c:extLst>
        </c:ser>
        <c:ser>
          <c:idx val="1"/>
          <c:order val="1"/>
          <c:tx>
            <c:v>Passive</c:v>
          </c:tx>
          <c:spPr>
            <a:solidFill>
              <a:schemeClr val="bg1">
                <a:lumMod val="65000"/>
              </a:schemeClr>
            </a:solidFill>
            <a:ln>
              <a:noFill/>
            </a:ln>
            <a:effectLst/>
          </c:spPr>
          <c:invertIfNegative val="0"/>
          <c:cat>
            <c:strLit>
              <c:ptCount val="12"/>
              <c:pt idx="0">
                <c:v>1</c:v>
              </c:pt>
              <c:pt idx="1">
                <c:v>2</c:v>
              </c:pt>
              <c:pt idx="2">
                <c:v>3</c:v>
              </c:pt>
              <c:pt idx="3">
                <c:v>4</c:v>
              </c:pt>
              <c:pt idx="4">
                <c:v>5</c:v>
              </c:pt>
              <c:pt idx="5">
                <c:v>6</c:v>
              </c:pt>
              <c:pt idx="6">
                <c:v>7</c:v>
              </c:pt>
              <c:pt idx="7">
                <c:v>8</c:v>
              </c:pt>
              <c:pt idx="8">
                <c:v>9</c:v>
              </c:pt>
              <c:pt idx="9">
                <c:v>10</c:v>
              </c:pt>
              <c:pt idx="10">
                <c:v>11</c:v>
              </c:pt>
              <c:pt idx="11">
                <c:v>12</c:v>
              </c:pt>
            </c:strLit>
          </c:cat>
          <c:val>
            <c:numLit>
              <c:formatCode>General</c:formatCode>
              <c:ptCount val="12"/>
              <c:pt idx="0">
                <c:v>430</c:v>
              </c:pt>
              <c:pt idx="1">
                <c:v>430</c:v>
              </c:pt>
              <c:pt idx="3">
                <c:v>430</c:v>
              </c:pt>
              <c:pt idx="8">
                <c:v>180</c:v>
              </c:pt>
              <c:pt idx="9">
                <c:v>250</c:v>
              </c:pt>
              <c:pt idx="10">
                <c:v>180</c:v>
              </c:pt>
              <c:pt idx="11">
                <c:v>250</c:v>
              </c:pt>
            </c:numLit>
          </c:val>
          <c:extLst>
            <c:ext xmlns:c16="http://schemas.microsoft.com/office/drawing/2014/chart" uri="{C3380CC4-5D6E-409C-BE32-E72D297353CC}">
              <c16:uniqueId val="{00000001-5C29-4A7A-BC3F-E213DA2824E0}"/>
            </c:ext>
          </c:extLst>
        </c:ser>
        <c:dLbls>
          <c:showLegendKey val="0"/>
          <c:showVal val="0"/>
          <c:showCatName val="0"/>
          <c:showSerName val="0"/>
          <c:showPercent val="0"/>
          <c:showBubbleSize val="0"/>
        </c:dLbls>
        <c:gapWidth val="500"/>
        <c:axId val="880573407"/>
        <c:axId val="880575327"/>
      </c:barChart>
      <c:catAx>
        <c:axId val="88057340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575327"/>
        <c:crosses val="autoZero"/>
        <c:auto val="1"/>
        <c:lblAlgn val="ctr"/>
        <c:lblOffset val="100"/>
        <c:noMultiLvlLbl val="0"/>
        <c:extLst>
          <c:ext xmlns:c15="http://schemas.microsoft.com/office/drawing/2012/chart" uri="{F40574EE-89B7-4290-83BB-5DA773EAF853}">
            <c15:numFmt c:formatCode="General" c:sourceLinked="1"/>
          </c:ext>
        </c:extLst>
      </c:catAx>
      <c:valAx>
        <c:axId val="880575327"/>
        <c:scaling>
          <c:orientation val="minMax"/>
        </c:scaling>
        <c:delete val="0"/>
        <c:axPos val="l"/>
        <c:majorGridlines>
          <c:spPr>
            <a:ln w="9525" cap="flat" cmpd="sng" algn="ctr">
              <a:no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573407"/>
        <c:crosses val="autoZero"/>
        <c:crossBetween val="between"/>
        <c:extLst>
          <c:ext xmlns:c15="http://schemas.microsoft.com/office/drawing/2012/chart" uri="{F40574EE-89B7-4290-83BB-5DA773EAF853}">
            <c15:numFmt c:formatCode="General" c:sourceLinked="1"/>
          </c:ext>
        </c:extLst>
      </c:valAx>
      <c:spPr>
        <a:noFill/>
        <a:ln w="25400">
          <a:noFill/>
        </a:ln>
        <a:effectLst/>
      </c:spPr>
    </c:plotArea>
    <c:legend>
      <c:legendPos val="r"/>
      <c:layout>
        <c:manualLayout>
          <c:xMode val="edge"/>
          <c:yMode val="edge"/>
          <c:x val="0.11719982504519522"/>
          <c:y val="8.3870595936654489E-3"/>
          <c:w val="0.8501917602950253"/>
          <c:h val="4.502890270222507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Template.xlsm]PivotChartTable10</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393394909496358E-4"/>
          <c:y val="8.3841965096385238E-2"/>
          <c:w val="0.985397313474074"/>
          <c:h val="0.7455962020086967"/>
        </c:manualLayout>
      </c:layout>
      <c:barChart>
        <c:barDir val="bar"/>
        <c:grouping val="stacked"/>
        <c:varyColors val="0"/>
        <c:ser>
          <c:idx val="0"/>
          <c:order val="0"/>
          <c:tx>
            <c:strRef>
              <c:f>Backend!$AQ$8</c:f>
              <c:strCache>
                <c:ptCount val="1"/>
                <c:pt idx="0">
                  <c:v>Need</c:v>
                </c:pt>
              </c:strCache>
            </c:strRef>
          </c:tx>
          <c:spPr>
            <a:solidFill>
              <a:srgbClr val="63202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Backend!$AR$7</c:f>
              <c:strCache>
                <c:ptCount val="1"/>
                <c:pt idx="0">
                  <c:v>Amount</c:v>
                </c:pt>
              </c:strCache>
            </c:strRef>
          </c:cat>
          <c:val>
            <c:numRef>
              <c:f>Backend!$AR$8</c:f>
              <c:numCache>
                <c:formatCode>General</c:formatCode>
                <c:ptCount val="1"/>
                <c:pt idx="0">
                  <c:v>8328</c:v>
                </c:pt>
              </c:numCache>
            </c:numRef>
          </c:val>
          <c:extLst>
            <c:ext xmlns:c16="http://schemas.microsoft.com/office/drawing/2014/chart" uri="{C3380CC4-5D6E-409C-BE32-E72D297353CC}">
              <c16:uniqueId val="{00000000-BEEE-4E48-8A6F-9F0CDF2E2ADC}"/>
            </c:ext>
          </c:extLst>
        </c:ser>
        <c:dLbls>
          <c:dLblPos val="ctr"/>
          <c:showLegendKey val="0"/>
          <c:showVal val="1"/>
          <c:showCatName val="0"/>
          <c:showSerName val="0"/>
          <c:showPercent val="0"/>
          <c:showBubbleSize val="0"/>
        </c:dLbls>
        <c:gapWidth val="150"/>
        <c:overlap val="100"/>
        <c:axId val="1412597488"/>
        <c:axId val="1412594608"/>
      </c:barChart>
      <c:barChart>
        <c:barDir val="bar"/>
        <c:grouping val="stacked"/>
        <c:varyColors val="0"/>
        <c:ser>
          <c:idx val="1"/>
          <c:order val="1"/>
          <c:tx>
            <c:strRef>
              <c:f>Backend!$AQ$9</c:f>
              <c:strCache>
                <c:ptCount val="1"/>
                <c:pt idx="0">
                  <c:v>Want</c:v>
                </c:pt>
              </c:strCache>
            </c:strRef>
          </c:tx>
          <c:spPr>
            <a:solidFill>
              <a:srgbClr val="BD3D4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Backend!$AR$7</c:f>
              <c:strCache>
                <c:ptCount val="1"/>
                <c:pt idx="0">
                  <c:v>Amount</c:v>
                </c:pt>
              </c:strCache>
            </c:strRef>
          </c:cat>
          <c:val>
            <c:numRef>
              <c:f>Backend!$AR$9</c:f>
              <c:numCache>
                <c:formatCode>General</c:formatCode>
                <c:ptCount val="1"/>
                <c:pt idx="0">
                  <c:v>1037</c:v>
                </c:pt>
              </c:numCache>
            </c:numRef>
          </c:val>
          <c:extLst>
            <c:ext xmlns:c16="http://schemas.microsoft.com/office/drawing/2014/chart" uri="{C3380CC4-5D6E-409C-BE32-E72D297353CC}">
              <c16:uniqueId val="{00000000-708A-4B4A-A532-C9C10775349A}"/>
            </c:ext>
          </c:extLst>
        </c:ser>
        <c:dLbls>
          <c:showLegendKey val="0"/>
          <c:showVal val="0"/>
          <c:showCatName val="0"/>
          <c:showSerName val="0"/>
          <c:showPercent val="0"/>
          <c:showBubbleSize val="0"/>
        </c:dLbls>
        <c:gapWidth val="150"/>
        <c:overlap val="100"/>
        <c:axId val="1190050623"/>
        <c:axId val="1190055903"/>
      </c:barChart>
      <c:catAx>
        <c:axId val="1412597488"/>
        <c:scaling>
          <c:orientation val="minMax"/>
        </c:scaling>
        <c:delete val="1"/>
        <c:axPos val="l"/>
        <c:numFmt formatCode="General" sourceLinked="1"/>
        <c:majorTickMark val="none"/>
        <c:minorTickMark val="none"/>
        <c:tickLblPos val="nextTo"/>
        <c:crossAx val="1412594608"/>
        <c:crosses val="autoZero"/>
        <c:auto val="1"/>
        <c:lblAlgn val="ctr"/>
        <c:lblOffset val="100"/>
        <c:noMultiLvlLbl val="0"/>
      </c:catAx>
      <c:valAx>
        <c:axId val="1412594608"/>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412597488"/>
        <c:crosses val="autoZero"/>
        <c:crossBetween val="between"/>
      </c:valAx>
      <c:valAx>
        <c:axId val="1190055903"/>
        <c:scaling>
          <c:orientation val="minMax"/>
        </c:scaling>
        <c:delete val="1"/>
        <c:axPos val="t"/>
        <c:numFmt formatCode="General" sourceLinked="1"/>
        <c:majorTickMark val="out"/>
        <c:minorTickMark val="none"/>
        <c:tickLblPos val="nextTo"/>
        <c:crossAx val="1190050623"/>
        <c:crosses val="max"/>
        <c:crossBetween val="between"/>
      </c:valAx>
      <c:catAx>
        <c:axId val="1190050623"/>
        <c:scaling>
          <c:orientation val="minMax"/>
        </c:scaling>
        <c:delete val="1"/>
        <c:axPos val="l"/>
        <c:numFmt formatCode="General" sourceLinked="1"/>
        <c:majorTickMark val="out"/>
        <c:minorTickMark val="none"/>
        <c:tickLblPos val="nextTo"/>
        <c:crossAx val="119005590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pivotFmt>
      <c:pivotFmt>
        <c:idx val="2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63202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68877222253306"/>
          <c:y val="0.13425925925925927"/>
          <c:w val="0.81221688345680054"/>
          <c:h val="0.74945246427529888"/>
        </c:manualLayout>
      </c:layout>
      <c:barChart>
        <c:barDir val="col"/>
        <c:grouping val="clustered"/>
        <c:varyColors val="0"/>
        <c:ser>
          <c:idx val="0"/>
          <c:order val="0"/>
          <c:tx>
            <c:v>Need</c:v>
          </c:tx>
          <c:spPr>
            <a:solidFill>
              <a:srgbClr val="632024"/>
            </a:solidFill>
            <a:ln>
              <a:noFill/>
            </a:ln>
            <a:effectLst/>
          </c:spPr>
          <c:invertIfNegative val="0"/>
          <c:cat>
            <c:strLit>
              <c:ptCount val="12"/>
              <c:pt idx="0">
                <c:v>1</c:v>
              </c:pt>
              <c:pt idx="1">
                <c:v>2</c:v>
              </c:pt>
              <c:pt idx="2">
                <c:v>3</c:v>
              </c:pt>
              <c:pt idx="3">
                <c:v>4</c:v>
              </c:pt>
              <c:pt idx="4">
                <c:v>5</c:v>
              </c:pt>
              <c:pt idx="5">
                <c:v>6</c:v>
              </c:pt>
              <c:pt idx="6">
                <c:v>7</c:v>
              </c:pt>
              <c:pt idx="7">
                <c:v>8</c:v>
              </c:pt>
              <c:pt idx="8">
                <c:v>9</c:v>
              </c:pt>
              <c:pt idx="9">
                <c:v>10</c:v>
              </c:pt>
              <c:pt idx="10">
                <c:v>11</c:v>
              </c:pt>
              <c:pt idx="11">
                <c:v>12</c:v>
              </c:pt>
            </c:strLit>
          </c:cat>
          <c:val>
            <c:numLit>
              <c:formatCode>General</c:formatCode>
              <c:ptCount val="12"/>
              <c:pt idx="0">
                <c:v>1715</c:v>
              </c:pt>
              <c:pt idx="1">
                <c:v>658</c:v>
              </c:pt>
              <c:pt idx="2">
                <c:v>610</c:v>
              </c:pt>
              <c:pt idx="3">
                <c:v>625</c:v>
              </c:pt>
              <c:pt idx="4">
                <c:v>680</c:v>
              </c:pt>
              <c:pt idx="5">
                <c:v>635</c:v>
              </c:pt>
              <c:pt idx="6">
                <c:v>520</c:v>
              </c:pt>
              <c:pt idx="7">
                <c:v>660</c:v>
              </c:pt>
              <c:pt idx="8">
                <c:v>630</c:v>
              </c:pt>
              <c:pt idx="9">
                <c:v>555</c:v>
              </c:pt>
              <c:pt idx="10">
                <c:v>520</c:v>
              </c:pt>
              <c:pt idx="11">
                <c:v>520</c:v>
              </c:pt>
            </c:numLit>
          </c:val>
          <c:extLst>
            <c:ext xmlns:c16="http://schemas.microsoft.com/office/drawing/2014/chart" uri="{C3380CC4-5D6E-409C-BE32-E72D297353CC}">
              <c16:uniqueId val="{00000006-6317-4860-A0C5-3D18133A7E80}"/>
            </c:ext>
          </c:extLst>
        </c:ser>
        <c:ser>
          <c:idx val="1"/>
          <c:order val="1"/>
          <c:tx>
            <c:v>Want</c:v>
          </c:tx>
          <c:spPr>
            <a:solidFill>
              <a:schemeClr val="bg1">
                <a:lumMod val="65000"/>
              </a:schemeClr>
            </a:solidFill>
            <a:ln>
              <a:noFill/>
            </a:ln>
            <a:effectLst/>
          </c:spPr>
          <c:invertIfNegative val="0"/>
          <c:cat>
            <c:strLit>
              <c:ptCount val="12"/>
              <c:pt idx="0">
                <c:v>1</c:v>
              </c:pt>
              <c:pt idx="1">
                <c:v>2</c:v>
              </c:pt>
              <c:pt idx="2">
                <c:v>3</c:v>
              </c:pt>
              <c:pt idx="3">
                <c:v>4</c:v>
              </c:pt>
              <c:pt idx="4">
                <c:v>5</c:v>
              </c:pt>
              <c:pt idx="5">
                <c:v>6</c:v>
              </c:pt>
              <c:pt idx="6">
                <c:v>7</c:v>
              </c:pt>
              <c:pt idx="7">
                <c:v>8</c:v>
              </c:pt>
              <c:pt idx="8">
                <c:v>9</c:v>
              </c:pt>
              <c:pt idx="9">
                <c:v>10</c:v>
              </c:pt>
              <c:pt idx="10">
                <c:v>11</c:v>
              </c:pt>
              <c:pt idx="11">
                <c:v>12</c:v>
              </c:pt>
            </c:strLit>
          </c:cat>
          <c:val>
            <c:numLit>
              <c:formatCode>General</c:formatCode>
              <c:ptCount val="12"/>
              <c:pt idx="0">
                <c:v>26</c:v>
              </c:pt>
              <c:pt idx="1">
                <c:v>32</c:v>
              </c:pt>
              <c:pt idx="2">
                <c:v>140</c:v>
              </c:pt>
              <c:pt idx="3">
                <c:v>74</c:v>
              </c:pt>
              <c:pt idx="4">
                <c:v>60</c:v>
              </c:pt>
              <c:pt idx="5">
                <c:v>130</c:v>
              </c:pt>
              <c:pt idx="6">
                <c:v>155</c:v>
              </c:pt>
              <c:pt idx="8">
                <c:v>90</c:v>
              </c:pt>
              <c:pt idx="10">
                <c:v>55</c:v>
              </c:pt>
              <c:pt idx="11">
                <c:v>275</c:v>
              </c:pt>
            </c:numLit>
          </c:val>
          <c:extLst>
            <c:ext xmlns:c16="http://schemas.microsoft.com/office/drawing/2014/chart" uri="{C3380CC4-5D6E-409C-BE32-E72D297353CC}">
              <c16:uniqueId val="{00000001-2A76-4E13-9092-F7A38DD5EF22}"/>
            </c:ext>
          </c:extLst>
        </c:ser>
        <c:dLbls>
          <c:showLegendKey val="0"/>
          <c:showVal val="0"/>
          <c:showCatName val="0"/>
          <c:showSerName val="0"/>
          <c:showPercent val="0"/>
          <c:showBubbleSize val="0"/>
        </c:dLbls>
        <c:gapWidth val="500"/>
        <c:axId val="880607967"/>
        <c:axId val="880657887"/>
      </c:barChart>
      <c:catAx>
        <c:axId val="88060796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57887"/>
        <c:crosses val="autoZero"/>
        <c:auto val="1"/>
        <c:lblAlgn val="ctr"/>
        <c:lblOffset val="100"/>
        <c:noMultiLvlLbl val="0"/>
        <c:extLst>
          <c:ext xmlns:c15="http://schemas.microsoft.com/office/drawing/2012/chart" uri="{F40574EE-89B7-4290-83BB-5DA773EAF853}">
            <c15:numFmt c:formatCode="General" c:sourceLinked="1"/>
          </c:ext>
        </c:extLst>
      </c:catAx>
      <c:valAx>
        <c:axId val="880657887"/>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079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8.0867706892487318E-2"/>
          <c:y val="1.7790271270605149E-2"/>
          <c:w val="0.9064448055810751"/>
          <c:h val="3.85417126717231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617891">
              <a:alpha val="25000"/>
            </a:srgbClr>
          </a:solidFill>
          <a:ln w="25400">
            <a:solidFill>
              <a:srgbClr val="617891"/>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6178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569876993331152E-2"/>
          <c:y val="0.1331192941494336"/>
          <c:w val="0.88478560063148781"/>
          <c:h val="0.74140750252370524"/>
        </c:manualLayout>
      </c:layout>
      <c:barChart>
        <c:barDir val="col"/>
        <c:grouping val="clustered"/>
        <c:varyColors val="0"/>
        <c:ser>
          <c:idx val="1"/>
          <c:order val="1"/>
          <c:tx>
            <c:v>Total Actuals - Sav &amp; Inv</c:v>
          </c:tx>
          <c:spPr>
            <a:solidFill>
              <a:srgbClr val="61789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Emergency Fund</c:v>
              </c:pt>
              <c:pt idx="1">
                <c:v>Investing</c:v>
              </c:pt>
              <c:pt idx="2">
                <c:v>Travel Fund</c:v>
              </c:pt>
              <c:pt idx="3">
                <c:v>Tuition</c:v>
              </c:pt>
            </c:strLit>
          </c:cat>
          <c:val>
            <c:numLit>
              <c:formatCode>General</c:formatCode>
              <c:ptCount val="4"/>
              <c:pt idx="0">
                <c:v>250</c:v>
              </c:pt>
              <c:pt idx="1">
                <c:v>1000</c:v>
              </c:pt>
              <c:pt idx="2">
                <c:v>160</c:v>
              </c:pt>
              <c:pt idx="3">
                <c:v>427</c:v>
              </c:pt>
            </c:numLit>
          </c:val>
          <c:extLst>
            <c:ext xmlns:c16="http://schemas.microsoft.com/office/drawing/2014/chart" uri="{C3380CC4-5D6E-409C-BE32-E72D297353CC}">
              <c16:uniqueId val="{0000000D-852B-4031-B1AE-6AD344EA734C}"/>
            </c:ext>
          </c:extLst>
        </c:ser>
        <c:dLbls>
          <c:showLegendKey val="0"/>
          <c:showVal val="0"/>
          <c:showCatName val="0"/>
          <c:showSerName val="0"/>
          <c:showPercent val="0"/>
          <c:showBubbleSize val="0"/>
        </c:dLbls>
        <c:gapWidth val="40"/>
        <c:overlap val="100"/>
        <c:axId val="936337152"/>
        <c:axId val="936335712"/>
      </c:barChart>
      <c:barChart>
        <c:barDir val="col"/>
        <c:grouping val="clustered"/>
        <c:varyColors val="0"/>
        <c:ser>
          <c:idx val="0"/>
          <c:order val="0"/>
          <c:tx>
            <c:v>Total Budget - Sav &amp; Inv</c:v>
          </c:tx>
          <c:spPr>
            <a:solidFill>
              <a:srgbClr val="617891">
                <a:alpha val="25000"/>
              </a:srgbClr>
            </a:solidFill>
            <a:ln w="25400">
              <a:solidFill>
                <a:srgbClr val="617891"/>
              </a:solidFill>
              <a:prstDash val="sysDash"/>
            </a:ln>
            <a:effectLst/>
          </c:spPr>
          <c:invertIfNegative val="0"/>
          <c:cat>
            <c:strLit>
              <c:ptCount val="4"/>
              <c:pt idx="0">
                <c:v>Emergency Fund</c:v>
              </c:pt>
              <c:pt idx="1">
                <c:v>Investing</c:v>
              </c:pt>
              <c:pt idx="2">
                <c:v>Travel Fund</c:v>
              </c:pt>
              <c:pt idx="3">
                <c:v>Tuition</c:v>
              </c:pt>
            </c:strLit>
          </c:cat>
          <c:val>
            <c:numLit>
              <c:formatCode>General</c:formatCode>
              <c:ptCount val="4"/>
              <c:pt idx="0">
                <c:v>3000</c:v>
              </c:pt>
              <c:pt idx="1">
                <c:v>1200</c:v>
              </c:pt>
              <c:pt idx="2">
                <c:v>240</c:v>
              </c:pt>
              <c:pt idx="3">
                <c:v>3600</c:v>
              </c:pt>
            </c:numLit>
          </c:val>
          <c:extLst>
            <c:ext xmlns:c16="http://schemas.microsoft.com/office/drawing/2014/chart" uri="{C3380CC4-5D6E-409C-BE32-E72D297353CC}">
              <c16:uniqueId val="{0000000C-852B-4031-B1AE-6AD344EA734C}"/>
            </c:ext>
          </c:extLst>
        </c:ser>
        <c:dLbls>
          <c:showLegendKey val="0"/>
          <c:showVal val="0"/>
          <c:showCatName val="0"/>
          <c:showSerName val="0"/>
          <c:showPercent val="0"/>
          <c:showBubbleSize val="0"/>
        </c:dLbls>
        <c:gapWidth val="0"/>
        <c:overlap val="100"/>
        <c:axId val="1190193183"/>
        <c:axId val="1190190303"/>
      </c:barChart>
      <c:catAx>
        <c:axId val="9363371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936335712"/>
        <c:crosses val="autoZero"/>
        <c:auto val="1"/>
        <c:lblAlgn val="ctr"/>
        <c:lblOffset val="100"/>
        <c:noMultiLvlLbl val="0"/>
        <c:extLst>
          <c:ext xmlns:c15="http://schemas.microsoft.com/office/drawing/2012/chart" uri="{F40574EE-89B7-4290-83BB-5DA773EAF853}">
            <c15:numFmt c:formatCode="General" c:sourceLinked="1"/>
          </c:ext>
        </c:extLst>
      </c:catAx>
      <c:valAx>
        <c:axId val="936335712"/>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337152"/>
        <c:crosses val="autoZero"/>
        <c:crossBetween val="between"/>
        <c:extLst>
          <c:ext xmlns:c15="http://schemas.microsoft.com/office/drawing/2012/chart" uri="{F40574EE-89B7-4290-83BB-5DA773EAF853}">
            <c15:numFmt c:formatCode="General" c:sourceLinked="1"/>
          </c:ext>
        </c:extLst>
      </c:valAx>
      <c:valAx>
        <c:axId val="1190190303"/>
        <c:scaling>
          <c:orientation val="minMax"/>
        </c:scaling>
        <c:delete val="1"/>
        <c:axPos val="r"/>
        <c:numFmt formatCode="General" sourceLinked="0"/>
        <c:majorTickMark val="out"/>
        <c:minorTickMark val="none"/>
        <c:tickLblPos val="nextTo"/>
        <c:crossAx val="1190193183"/>
        <c:crosses val="max"/>
        <c:crossBetween val="between"/>
        <c:extLst>
          <c:ext xmlns:c15="http://schemas.microsoft.com/office/drawing/2012/chart" uri="{F40574EE-89B7-4290-83BB-5DA773EAF853}">
            <c15:numFmt c:formatCode="General" c:sourceLinked="1"/>
          </c:ext>
        </c:extLst>
      </c:valAx>
      <c:catAx>
        <c:axId val="1190193183"/>
        <c:scaling>
          <c:orientation val="minMax"/>
        </c:scaling>
        <c:delete val="1"/>
        <c:axPos val="b"/>
        <c:numFmt formatCode="General" sourceLinked="0"/>
        <c:majorTickMark val="out"/>
        <c:minorTickMark val="none"/>
        <c:tickLblPos val="nextTo"/>
        <c:crossAx val="1190190303"/>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ayout>
        <c:manualLayout>
          <c:xMode val="edge"/>
          <c:yMode val="edge"/>
          <c:x val="4.6050825480145829E-2"/>
          <c:y val="6.6856309003478472E-3"/>
          <c:w val="0.94479026087759221"/>
          <c:h val="7.2803467649409898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Template.xlsm]PivotChartTable13</c15:name>
        <c15:fmtId val="20"/>
      </c15:pivotSource>
      <c15:pivotOptions>
        <c15:dropZonesVisible val="1"/>
      </c15: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alpha val="36000"/>
            </a:schemeClr>
          </a:solidFill>
          <a:ln w="12700">
            <a:solidFill>
              <a:schemeClr val="tx2">
                <a:lumMod val="25000"/>
                <a:lumOff val="75000"/>
              </a:schemeClr>
            </a:solidFill>
            <a:prstDash val="dash"/>
          </a:ln>
          <a:effectLst/>
        </c:spPr>
        <c:marker>
          <c:symbol val="none"/>
        </c:marker>
      </c:pivotFmt>
      <c:pivotFmt>
        <c:idx val="2"/>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5344F">
              <a:alpha val="25098"/>
            </a:srgbClr>
          </a:solidFill>
          <a:ln w="25400">
            <a:solidFill>
              <a:srgbClr val="25344F"/>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5344F"/>
          </a:solidFill>
          <a:ln w="25400">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B699F">
              <a:alpha val="70000"/>
            </a:srgbClr>
          </a:solidFill>
          <a:ln>
            <a:noFill/>
          </a:ln>
          <a:effectLst/>
        </c:spPr>
        <c:marker>
          <c:symbol val="none"/>
        </c:marker>
      </c:pivotFmt>
      <c:pivotFmt>
        <c:idx val="14"/>
        <c:spPr>
          <a:solidFill>
            <a:srgbClr val="25344F">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25344F">
              <a:alpha val="25098"/>
            </a:srgbClr>
          </a:solidFill>
          <a:ln w="25400">
            <a:solidFill>
              <a:srgbClr val="25344F"/>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s>
    <c:plotArea>
      <c:layout>
        <c:manualLayout>
          <c:layoutTarget val="inner"/>
          <c:xMode val="edge"/>
          <c:yMode val="edge"/>
          <c:x val="8.9235877219505211E-2"/>
          <c:y val="0.14997769833170815"/>
          <c:w val="0.84828092226906393"/>
          <c:h val="0.74140761268896405"/>
        </c:manualLayout>
      </c:layout>
      <c:barChart>
        <c:barDir val="col"/>
        <c:grouping val="clustered"/>
        <c:varyColors val="0"/>
        <c:ser>
          <c:idx val="1"/>
          <c:order val="1"/>
          <c:tx>
            <c:v>Total Actuals - Income</c:v>
          </c:tx>
          <c:spPr>
            <a:solidFill>
              <a:srgbClr val="25344F"/>
            </a:solidFill>
            <a:ln w="25400">
              <a:no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CAF</c:v>
              </c:pt>
              <c:pt idx="1">
                <c:v>Family Support</c:v>
              </c:pt>
              <c:pt idx="2">
                <c:v>Internship</c:v>
              </c:pt>
              <c:pt idx="3">
                <c:v>Side Gigs</c:v>
              </c:pt>
              <c:pt idx="4">
                <c:v>Student Job</c:v>
              </c:pt>
            </c:strLit>
          </c:cat>
          <c:val>
            <c:numLit>
              <c:formatCode>General</c:formatCode>
              <c:ptCount val="5"/>
              <c:pt idx="0">
                <c:v>900</c:v>
              </c:pt>
              <c:pt idx="1">
                <c:v>1250</c:v>
              </c:pt>
              <c:pt idx="2">
                <c:v>3600</c:v>
              </c:pt>
              <c:pt idx="3">
                <c:v>120</c:v>
              </c:pt>
              <c:pt idx="4">
                <c:v>3600</c:v>
              </c:pt>
            </c:numLit>
          </c:val>
          <c:extLst>
            <c:ext xmlns:c16="http://schemas.microsoft.com/office/drawing/2014/chart" uri="{C3380CC4-5D6E-409C-BE32-E72D297353CC}">
              <c16:uniqueId val="{0000000D-AB1C-47DC-8FB4-D5BB3858E9DC}"/>
            </c:ext>
          </c:extLst>
        </c:ser>
        <c:dLbls>
          <c:dLblPos val="outEnd"/>
          <c:showLegendKey val="0"/>
          <c:showVal val="1"/>
          <c:showCatName val="0"/>
          <c:showSerName val="0"/>
          <c:showPercent val="0"/>
          <c:showBubbleSize val="0"/>
        </c:dLbls>
        <c:gapWidth val="40"/>
        <c:overlap val="80"/>
        <c:axId val="936337152"/>
        <c:axId val="936335712"/>
      </c:barChart>
      <c:barChart>
        <c:barDir val="col"/>
        <c:grouping val="clustered"/>
        <c:varyColors val="0"/>
        <c:ser>
          <c:idx val="0"/>
          <c:order val="0"/>
          <c:tx>
            <c:v>Total Budget - Income</c:v>
          </c:tx>
          <c:spPr>
            <a:solidFill>
              <a:srgbClr val="25344F">
                <a:alpha val="25098"/>
              </a:srgbClr>
            </a:solidFill>
            <a:ln w="25400">
              <a:solidFill>
                <a:srgbClr val="25344F"/>
              </a:solidFill>
              <a:prstDash val="sysDash"/>
            </a:ln>
            <a:effectLst/>
          </c:spPr>
          <c:invertIfNegative val="0"/>
          <c:cat>
            <c:strLit>
              <c:ptCount val="5"/>
              <c:pt idx="0">
                <c:v>CAF</c:v>
              </c:pt>
              <c:pt idx="1">
                <c:v>Family Support</c:v>
              </c:pt>
              <c:pt idx="2">
                <c:v>Internship</c:v>
              </c:pt>
              <c:pt idx="3">
                <c:v>Side Gigs</c:v>
              </c:pt>
              <c:pt idx="4">
                <c:v>Student Job</c:v>
              </c:pt>
            </c:strLit>
          </c:cat>
          <c:val>
            <c:numLit>
              <c:formatCode>General</c:formatCode>
              <c:ptCount val="5"/>
              <c:pt idx="0">
                <c:v>11400</c:v>
              </c:pt>
              <c:pt idx="1">
                <c:v>240</c:v>
              </c:pt>
              <c:pt idx="2">
                <c:v>12000</c:v>
              </c:pt>
              <c:pt idx="3">
                <c:v>2050</c:v>
              </c:pt>
              <c:pt idx="4">
                <c:v>4200</c:v>
              </c:pt>
            </c:numLit>
          </c:val>
          <c:extLst>
            <c:ext xmlns:c16="http://schemas.microsoft.com/office/drawing/2014/chart" uri="{C3380CC4-5D6E-409C-BE32-E72D297353CC}">
              <c16:uniqueId val="{0000000C-AB1C-47DC-8FB4-D5BB3858E9DC}"/>
            </c:ext>
          </c:extLst>
        </c:ser>
        <c:dLbls>
          <c:showLegendKey val="0"/>
          <c:showVal val="0"/>
          <c:showCatName val="0"/>
          <c:showSerName val="0"/>
          <c:showPercent val="0"/>
          <c:showBubbleSize val="0"/>
        </c:dLbls>
        <c:gapWidth val="0"/>
        <c:overlap val="100"/>
        <c:axId val="1190202303"/>
        <c:axId val="1190196063"/>
      </c:barChart>
      <c:catAx>
        <c:axId val="9363371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936335712"/>
        <c:crossesAt val="0"/>
        <c:auto val="1"/>
        <c:lblAlgn val="ctr"/>
        <c:lblOffset val="100"/>
        <c:noMultiLvlLbl val="0"/>
        <c:extLst>
          <c:ext xmlns:c15="http://schemas.microsoft.com/office/drawing/2012/chart" uri="{F40574EE-89B7-4290-83BB-5DA773EAF853}">
            <c15:numFmt c:formatCode="General" c:sourceLinked="1"/>
          </c:ext>
        </c:extLst>
      </c:catAx>
      <c:valAx>
        <c:axId val="936335712"/>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337152"/>
        <c:crossesAt val="1"/>
        <c:crossBetween val="between"/>
        <c:extLst>
          <c:ext xmlns:c15="http://schemas.microsoft.com/office/drawing/2012/chart" uri="{F40574EE-89B7-4290-83BB-5DA773EAF853}">
            <c15:numFmt c:formatCode="General" c:sourceLinked="1"/>
          </c:ext>
        </c:extLst>
      </c:valAx>
      <c:valAx>
        <c:axId val="1190196063"/>
        <c:scaling>
          <c:orientation val="minMax"/>
        </c:scaling>
        <c:delete val="1"/>
        <c:axPos val="r"/>
        <c:numFmt formatCode="General" sourceLinked="0"/>
        <c:majorTickMark val="out"/>
        <c:minorTickMark val="none"/>
        <c:tickLblPos val="nextTo"/>
        <c:crossAx val="1190202303"/>
        <c:crosses val="max"/>
        <c:crossBetween val="between"/>
        <c:extLst>
          <c:ext xmlns:c15="http://schemas.microsoft.com/office/drawing/2012/chart" uri="{F40574EE-89B7-4290-83BB-5DA773EAF853}">
            <c15:numFmt c:formatCode="General" c:sourceLinked="1"/>
          </c:ext>
        </c:extLst>
      </c:valAx>
      <c:catAx>
        <c:axId val="1190202303"/>
        <c:scaling>
          <c:orientation val="minMax"/>
        </c:scaling>
        <c:delete val="1"/>
        <c:axPos val="b"/>
        <c:numFmt formatCode="General" sourceLinked="0"/>
        <c:majorTickMark val="out"/>
        <c:minorTickMark val="none"/>
        <c:tickLblPos val="nextTo"/>
        <c:crossAx val="1190196063"/>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ayout>
        <c:manualLayout>
          <c:xMode val="edge"/>
          <c:yMode val="edge"/>
          <c:x val="0.11307843786111854"/>
          <c:y val="1.5082104143037582E-3"/>
          <c:w val="0.80100086749866051"/>
          <c:h val="6.695832015576228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Template.xlsm]PivotChartTable14</c15:name>
        <c15:fmtId val="26"/>
      </c15:pivotSource>
      <c15:pivotOptions>
        <c15:dropZonesVisible val="1"/>
      </c15: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alpha val="70000"/>
            </a:schemeClr>
          </a:solidFill>
          <a:ln w="9525" cap="sq" cmpd="dbl">
            <a:solidFill>
              <a:schemeClr val="accent1"/>
            </a:solidFill>
            <a:prstDash val="dash"/>
          </a:ln>
          <a:effectLst/>
        </c:spPr>
        <c:marker>
          <c:symbol val="none"/>
        </c:marker>
      </c:pivotFmt>
      <c:pivotFmt>
        <c:idx val="2"/>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38100" cap="rnd" cmpd="sng">
            <a:solidFill>
              <a:srgbClr val="5A79B2">
                <a:alpha val="99000"/>
              </a:srgbClr>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38100" cap="rnd">
            <a:solidFill>
              <a:srgbClr val="25344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273754">
              <a:alpha val="70000"/>
            </a:srgbClr>
          </a:solidFill>
          <a:ln>
            <a:solidFill>
              <a:srgbClr val="25344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4B699F">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68475183700726E-2"/>
          <c:y val="0.19219791820639018"/>
          <c:w val="0.94201092841315703"/>
          <c:h val="0.78962874135453287"/>
        </c:manualLayout>
      </c:layout>
      <c:areaChart>
        <c:grouping val="standard"/>
        <c:varyColors val="0"/>
        <c:ser>
          <c:idx val="2"/>
          <c:order val="2"/>
          <c:tx>
            <c:v>Total Actuals - Income2</c:v>
          </c:tx>
          <c:spPr>
            <a:solidFill>
              <a:srgbClr val="273754">
                <a:alpha val="70000"/>
              </a:srgbClr>
            </a:solidFill>
            <a:ln>
              <a:solidFill>
                <a:srgbClr val="25344F"/>
              </a:solid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880</c:v>
              </c:pt>
              <c:pt idx="1">
                <c:v>880</c:v>
              </c:pt>
              <c:pt idx="2">
                <c:v>570</c:v>
              </c:pt>
              <c:pt idx="3">
                <c:v>880</c:v>
              </c:pt>
              <c:pt idx="4">
                <c:v>900</c:v>
              </c:pt>
              <c:pt idx="5">
                <c:v>900</c:v>
              </c:pt>
              <c:pt idx="6">
                <c:v>900</c:v>
              </c:pt>
              <c:pt idx="7">
                <c:v>900</c:v>
              </c:pt>
              <c:pt idx="8">
                <c:v>630</c:v>
              </c:pt>
              <c:pt idx="9">
                <c:v>700</c:v>
              </c:pt>
              <c:pt idx="10">
                <c:v>630</c:v>
              </c:pt>
              <c:pt idx="11">
                <c:v>700</c:v>
              </c:pt>
            </c:numLit>
          </c:val>
          <c:extLst>
            <c:ext xmlns:c16="http://schemas.microsoft.com/office/drawing/2014/chart" uri="{C3380CC4-5D6E-409C-BE32-E72D297353CC}">
              <c16:uniqueId val="{0000000E-B93F-41CE-8486-BAEE45F41C8D}"/>
            </c:ext>
          </c:extLst>
        </c:ser>
        <c:ser>
          <c:idx val="3"/>
          <c:order val="3"/>
          <c:tx>
            <c:v>Total Budget - Income2</c:v>
          </c:tx>
          <c:spPr>
            <a:solidFill>
              <a:srgbClr val="4B699F">
                <a:alpha val="70000"/>
              </a:srgbClr>
            </a:solidFill>
            <a:ln>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3420</c:v>
              </c:pt>
              <c:pt idx="1">
                <c:v>4870</c:v>
              </c:pt>
              <c:pt idx="2">
                <c:v>3420</c:v>
              </c:pt>
              <c:pt idx="3">
                <c:v>3420</c:v>
              </c:pt>
              <c:pt idx="4">
                <c:v>3420</c:v>
              </c:pt>
              <c:pt idx="5">
                <c:v>1620</c:v>
              </c:pt>
              <c:pt idx="6">
                <c:v>1620</c:v>
              </c:pt>
              <c:pt idx="7">
                <c:v>1620</c:v>
              </c:pt>
              <c:pt idx="8">
                <c:v>1620</c:v>
              </c:pt>
              <c:pt idx="9">
                <c:v>1620</c:v>
              </c:pt>
              <c:pt idx="10">
                <c:v>1620</c:v>
              </c:pt>
              <c:pt idx="11">
                <c:v>1620</c:v>
              </c:pt>
            </c:numLit>
          </c:val>
          <c:extLst>
            <c:ext xmlns:c16="http://schemas.microsoft.com/office/drawing/2014/chart" uri="{C3380CC4-5D6E-409C-BE32-E72D297353CC}">
              <c16:uniqueId val="{0000000F-B93F-41CE-8486-BAEE45F41C8D}"/>
            </c:ext>
          </c:extLst>
        </c:ser>
        <c:dLbls>
          <c:showLegendKey val="0"/>
          <c:showVal val="0"/>
          <c:showCatName val="0"/>
          <c:showSerName val="0"/>
          <c:showPercent val="0"/>
          <c:showBubbleSize val="0"/>
        </c:dLbls>
        <c:axId val="1412559568"/>
        <c:axId val="1412558608"/>
      </c:areaChart>
      <c:lineChart>
        <c:grouping val="standard"/>
        <c:varyColors val="0"/>
        <c:ser>
          <c:idx val="0"/>
          <c:order val="0"/>
          <c:tx>
            <c:v>Total Budget - Income</c:v>
          </c:tx>
          <c:spPr>
            <a:ln w="38100" cap="rnd" cmpd="sng">
              <a:solidFill>
                <a:srgbClr val="5A79B2">
                  <a:alpha val="99000"/>
                </a:srgbClr>
              </a:solidFill>
              <a:prstDash val="solid"/>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3420</c:v>
              </c:pt>
              <c:pt idx="1">
                <c:v>4870</c:v>
              </c:pt>
              <c:pt idx="2">
                <c:v>3420</c:v>
              </c:pt>
              <c:pt idx="3">
                <c:v>3420</c:v>
              </c:pt>
              <c:pt idx="4">
                <c:v>3420</c:v>
              </c:pt>
              <c:pt idx="5">
                <c:v>1620</c:v>
              </c:pt>
              <c:pt idx="6">
                <c:v>1620</c:v>
              </c:pt>
              <c:pt idx="7">
                <c:v>1620</c:v>
              </c:pt>
              <c:pt idx="8">
                <c:v>1620</c:v>
              </c:pt>
              <c:pt idx="9">
                <c:v>1620</c:v>
              </c:pt>
              <c:pt idx="10">
                <c:v>1620</c:v>
              </c:pt>
              <c:pt idx="11">
                <c:v>1620</c:v>
              </c:pt>
            </c:numLit>
          </c:val>
          <c:smooth val="1"/>
          <c:extLst>
            <c:ext xmlns:c16="http://schemas.microsoft.com/office/drawing/2014/chart" uri="{C3380CC4-5D6E-409C-BE32-E72D297353CC}">
              <c16:uniqueId val="{0000000C-CECD-4919-81AC-1B2C63BC56E9}"/>
            </c:ext>
          </c:extLst>
        </c:ser>
        <c:ser>
          <c:idx val="1"/>
          <c:order val="1"/>
          <c:tx>
            <c:v>Total Actuals - Income</c:v>
          </c:tx>
          <c:spPr>
            <a:ln w="38100" cap="rnd">
              <a:solidFill>
                <a:srgbClr val="25344F"/>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880</c:v>
              </c:pt>
              <c:pt idx="1">
                <c:v>880</c:v>
              </c:pt>
              <c:pt idx="2">
                <c:v>570</c:v>
              </c:pt>
              <c:pt idx="3">
                <c:v>880</c:v>
              </c:pt>
              <c:pt idx="4">
                <c:v>900</c:v>
              </c:pt>
              <c:pt idx="5">
                <c:v>900</c:v>
              </c:pt>
              <c:pt idx="6">
                <c:v>900</c:v>
              </c:pt>
              <c:pt idx="7">
                <c:v>900</c:v>
              </c:pt>
              <c:pt idx="8">
                <c:v>630</c:v>
              </c:pt>
              <c:pt idx="9">
                <c:v>700</c:v>
              </c:pt>
              <c:pt idx="10">
                <c:v>630</c:v>
              </c:pt>
              <c:pt idx="11">
                <c:v>700</c:v>
              </c:pt>
            </c:numLit>
          </c:val>
          <c:smooth val="1"/>
          <c:extLst>
            <c:ext xmlns:c16="http://schemas.microsoft.com/office/drawing/2014/chart" uri="{C3380CC4-5D6E-409C-BE32-E72D297353CC}">
              <c16:uniqueId val="{0000000D-CECD-4919-81AC-1B2C63BC56E9}"/>
            </c:ext>
          </c:extLst>
        </c:ser>
        <c:dLbls>
          <c:showLegendKey val="0"/>
          <c:showVal val="0"/>
          <c:showCatName val="0"/>
          <c:showSerName val="0"/>
          <c:showPercent val="0"/>
          <c:showBubbleSize val="0"/>
        </c:dLbls>
        <c:marker val="1"/>
        <c:smooth val="0"/>
        <c:axId val="1412559568"/>
        <c:axId val="1412558608"/>
      </c:lineChart>
      <c:catAx>
        <c:axId val="1412559568"/>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12558608"/>
        <c:crosses val="autoZero"/>
        <c:auto val="1"/>
        <c:lblAlgn val="ctr"/>
        <c:lblOffset val="100"/>
        <c:noMultiLvlLbl val="0"/>
        <c:extLst>
          <c:ext xmlns:c15="http://schemas.microsoft.com/office/drawing/2012/chart" uri="{F40574EE-89B7-4290-83BB-5DA773EAF853}">
            <c15:numFmt c:formatCode="General" c:sourceLinked="1"/>
          </c:ext>
        </c:extLst>
      </c:catAx>
      <c:valAx>
        <c:axId val="1412558608"/>
        <c:scaling>
          <c:orientation val="minMax"/>
          <c:min val="0"/>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5595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egendEntry>
        <c:idx val="0"/>
        <c:delete val="1"/>
      </c:legendEntry>
      <c:legendEntry>
        <c:idx val="1"/>
        <c:delete val="1"/>
      </c:legendEntry>
      <c:layout>
        <c:manualLayout>
          <c:xMode val="edge"/>
          <c:yMode val="edge"/>
          <c:x val="5.4284258567566003E-2"/>
          <c:y val="1.112291823075722E-2"/>
          <c:w val="0.87062727276933782"/>
          <c:h val="6.371893222242920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Template.xlsm]PivotChartTable15</c15:name>
        <c15:fmtId val="23"/>
      </c15:pivotSource>
      <c15:pivotOptions>
        <c15:dropZonesVisible val="1"/>
      </c15: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alpha val="36000"/>
            </a:schemeClr>
          </a:solidFill>
          <a:ln w="12700">
            <a:solidFill>
              <a:schemeClr val="tx2">
                <a:lumMod val="25000"/>
                <a:lumOff val="75000"/>
              </a:schemeClr>
            </a:solidFill>
            <a:prstDash val="dash"/>
          </a:ln>
          <a:effectLst/>
        </c:spPr>
        <c:marker>
          <c:symbol val="none"/>
        </c:marker>
      </c:pivotFmt>
      <c:pivotFmt>
        <c:idx val="2"/>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alpha val="36000"/>
            </a:schemeClr>
          </a:solidFill>
          <a:ln w="12700">
            <a:solidFill>
              <a:schemeClr val="tx2">
                <a:lumMod val="25000"/>
                <a:lumOff val="75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E2841">
              <a:lumMod val="75000"/>
              <a:lumOff val="25000"/>
            </a:srgbClr>
          </a:solidFill>
          <a:ln w="25400">
            <a:solidFill>
              <a:srgbClr val="0E2841">
                <a:lumMod val="50000"/>
                <a:lumOff val="50000"/>
                <a:alpha val="70000"/>
              </a:srgbClr>
            </a:solidFill>
            <a:prstDash val="dash"/>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E2841">
              <a:lumMod val="75000"/>
              <a:lumOff val="25000"/>
            </a:srgbClr>
          </a:solidFill>
          <a:ln w="25400">
            <a:solidFill>
              <a:srgbClr val="0E2841">
                <a:lumMod val="50000"/>
                <a:lumOff val="50000"/>
                <a:alpha val="70000"/>
              </a:srgb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E2841">
              <a:lumMod val="75000"/>
              <a:lumOff val="25000"/>
            </a:srgbClr>
          </a:solidFill>
          <a:ln w="25400">
            <a:solidFill>
              <a:srgbClr val="0E2841">
                <a:lumMod val="50000"/>
                <a:lumOff val="50000"/>
                <a:alpha val="70000"/>
              </a:srgb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63202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632024">
              <a:alpha val="25000"/>
            </a:srgbClr>
          </a:solidFill>
          <a:ln w="25400">
            <a:solidFill>
              <a:srgbClr val="632024"/>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632024">
              <a:alpha val="25000"/>
            </a:srgbClr>
          </a:solidFill>
          <a:ln w="25400">
            <a:solidFill>
              <a:srgbClr val="632024"/>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pivotFmt>
    </c:pivotFmts>
    <c:plotArea>
      <c:layout>
        <c:manualLayout>
          <c:layoutTarget val="inner"/>
          <c:xMode val="edge"/>
          <c:yMode val="edge"/>
          <c:x val="1.7130220561857125E-2"/>
          <c:y val="0.147096324429692"/>
          <c:w val="0.84457126169693619"/>
          <c:h val="0.74140761268896405"/>
        </c:manualLayout>
      </c:layout>
      <c:barChart>
        <c:barDir val="col"/>
        <c:grouping val="clustered"/>
        <c:varyColors val="0"/>
        <c:ser>
          <c:idx val="1"/>
          <c:order val="1"/>
          <c:tx>
            <c:v>Total Actuals - Expenses</c:v>
          </c:tx>
          <c:spPr>
            <a:solidFill>
              <a:srgbClr val="632024"/>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Eating Out</c:v>
              </c:pt>
              <c:pt idx="1">
                <c:v>Groceries</c:v>
              </c:pt>
              <c:pt idx="2">
                <c:v>Gym</c:v>
              </c:pt>
              <c:pt idx="3">
                <c:v>Health &amp; Pharmacy</c:v>
              </c:pt>
              <c:pt idx="4">
                <c:v>Leisure</c:v>
              </c:pt>
              <c:pt idx="5">
                <c:v>Rent</c:v>
              </c:pt>
              <c:pt idx="6">
                <c:v>Shopping</c:v>
              </c:pt>
              <c:pt idx="7">
                <c:v>Subscriptions</c:v>
              </c:pt>
              <c:pt idx="8">
                <c:v>Transport</c:v>
              </c:pt>
              <c:pt idx="9">
                <c:v>Utilities &amp; Internet</c:v>
              </c:pt>
            </c:strLit>
          </c:cat>
          <c:val>
            <c:numLit>
              <c:formatCode>General</c:formatCode>
              <c:ptCount val="10"/>
              <c:pt idx="0">
                <c:v>210</c:v>
              </c:pt>
              <c:pt idx="1">
                <c:v>835</c:v>
              </c:pt>
              <c:pt idx="3">
                <c:v>63</c:v>
              </c:pt>
              <c:pt idx="4">
                <c:v>280</c:v>
              </c:pt>
              <c:pt idx="5">
                <c:v>6240</c:v>
              </c:pt>
              <c:pt idx="6">
                <c:v>495</c:v>
              </c:pt>
              <c:pt idx="7">
                <c:v>52</c:v>
              </c:pt>
              <c:pt idx="8">
                <c:v>1120</c:v>
              </c:pt>
              <c:pt idx="9">
                <c:v>70</c:v>
              </c:pt>
            </c:numLit>
          </c:val>
          <c:extLst>
            <c:ext xmlns:c16="http://schemas.microsoft.com/office/drawing/2014/chart" uri="{C3380CC4-5D6E-409C-BE32-E72D297353CC}">
              <c16:uniqueId val="{0000000C-E727-4A73-BDB5-88E2A083E81F}"/>
            </c:ext>
          </c:extLst>
        </c:ser>
        <c:dLbls>
          <c:showLegendKey val="0"/>
          <c:showVal val="0"/>
          <c:showCatName val="0"/>
          <c:showSerName val="0"/>
          <c:showPercent val="0"/>
          <c:showBubbleSize val="0"/>
        </c:dLbls>
        <c:gapWidth val="40"/>
        <c:overlap val="100"/>
        <c:axId val="936337152"/>
        <c:axId val="936335712"/>
      </c:barChart>
      <c:barChart>
        <c:barDir val="col"/>
        <c:grouping val="clustered"/>
        <c:varyColors val="0"/>
        <c:ser>
          <c:idx val="0"/>
          <c:order val="0"/>
          <c:tx>
            <c:v>Total Budget - Expenses</c:v>
          </c:tx>
          <c:spPr>
            <a:solidFill>
              <a:srgbClr val="632024">
                <a:alpha val="25000"/>
              </a:srgbClr>
            </a:solidFill>
            <a:ln w="25400">
              <a:solidFill>
                <a:srgbClr val="632024"/>
              </a:solidFill>
              <a:prstDash val="sysDash"/>
            </a:ln>
            <a:effectLst/>
          </c:spPr>
          <c:invertIfNegative val="0"/>
          <c:cat>
            <c:strLit>
              <c:ptCount val="10"/>
              <c:pt idx="0">
                <c:v>Eating Out</c:v>
              </c:pt>
              <c:pt idx="1">
                <c:v>Groceries</c:v>
              </c:pt>
              <c:pt idx="2">
                <c:v>Gym</c:v>
              </c:pt>
              <c:pt idx="3">
                <c:v>Health &amp; Pharmacy</c:v>
              </c:pt>
              <c:pt idx="4">
                <c:v>Leisure</c:v>
              </c:pt>
              <c:pt idx="5">
                <c:v>Rent</c:v>
              </c:pt>
              <c:pt idx="6">
                <c:v>Shopping</c:v>
              </c:pt>
              <c:pt idx="7">
                <c:v>Subscriptions</c:v>
              </c:pt>
              <c:pt idx="8">
                <c:v>Transport</c:v>
              </c:pt>
              <c:pt idx="9">
                <c:v>Utilities &amp; Internet</c:v>
              </c:pt>
            </c:strLit>
          </c:cat>
          <c:val>
            <c:numLit>
              <c:formatCode>General</c:formatCode>
              <c:ptCount val="10"/>
              <c:pt idx="0">
                <c:v>120</c:v>
              </c:pt>
              <c:pt idx="1">
                <c:v>2400</c:v>
              </c:pt>
              <c:pt idx="2">
                <c:v>36</c:v>
              </c:pt>
              <c:pt idx="3">
                <c:v>240</c:v>
              </c:pt>
              <c:pt idx="4">
                <c:v>60</c:v>
              </c:pt>
              <c:pt idx="5">
                <c:v>6000</c:v>
              </c:pt>
              <c:pt idx="6">
                <c:v>360</c:v>
              </c:pt>
              <c:pt idx="7">
                <c:v>60</c:v>
              </c:pt>
              <c:pt idx="8">
                <c:v>1200</c:v>
              </c:pt>
              <c:pt idx="9">
                <c:v>96</c:v>
              </c:pt>
            </c:numLit>
          </c:val>
          <c:extLst>
            <c:ext xmlns:c16="http://schemas.microsoft.com/office/drawing/2014/chart" uri="{C3380CC4-5D6E-409C-BE32-E72D297353CC}">
              <c16:uniqueId val="{0000000B-E727-4A73-BDB5-88E2A083E81F}"/>
            </c:ext>
          </c:extLst>
        </c:ser>
        <c:dLbls>
          <c:showLegendKey val="0"/>
          <c:showVal val="0"/>
          <c:showCatName val="0"/>
          <c:showSerName val="0"/>
          <c:showPercent val="0"/>
          <c:showBubbleSize val="0"/>
        </c:dLbls>
        <c:gapWidth val="0"/>
        <c:overlap val="100"/>
        <c:axId val="1190154303"/>
        <c:axId val="1190101983"/>
      </c:barChart>
      <c:catAx>
        <c:axId val="9363371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936335712"/>
        <c:crossesAt val="0"/>
        <c:auto val="1"/>
        <c:lblAlgn val="ctr"/>
        <c:lblOffset val="100"/>
        <c:noMultiLvlLbl val="0"/>
        <c:extLst>
          <c:ext xmlns:c15="http://schemas.microsoft.com/office/drawing/2012/chart" uri="{F40574EE-89B7-4290-83BB-5DA773EAF853}">
            <c15:numFmt c:formatCode="General" c:sourceLinked="1"/>
          </c:ext>
        </c:extLst>
      </c:catAx>
      <c:valAx>
        <c:axId val="936335712"/>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337152"/>
        <c:crossesAt val="1"/>
        <c:crossBetween val="between"/>
        <c:extLst>
          <c:ext xmlns:c15="http://schemas.microsoft.com/office/drawing/2012/chart" uri="{F40574EE-89B7-4290-83BB-5DA773EAF853}">
            <c15:numFmt c:formatCode="General" c:sourceLinked="1"/>
          </c:ext>
        </c:extLst>
      </c:valAx>
      <c:valAx>
        <c:axId val="1190101983"/>
        <c:scaling>
          <c:orientation val="minMax"/>
        </c:scaling>
        <c:delete val="1"/>
        <c:axPos val="r"/>
        <c:numFmt formatCode="General" sourceLinked="0"/>
        <c:majorTickMark val="out"/>
        <c:minorTickMark val="none"/>
        <c:tickLblPos val="nextTo"/>
        <c:crossAx val="1190154303"/>
        <c:crosses val="max"/>
        <c:crossBetween val="between"/>
        <c:extLst>
          <c:ext xmlns:c15="http://schemas.microsoft.com/office/drawing/2012/chart" uri="{F40574EE-89B7-4290-83BB-5DA773EAF853}">
            <c15:numFmt c:formatCode="General" c:sourceLinked="1"/>
          </c:ext>
        </c:extLst>
      </c:valAx>
      <c:catAx>
        <c:axId val="1190154303"/>
        <c:scaling>
          <c:orientation val="minMax"/>
        </c:scaling>
        <c:delete val="1"/>
        <c:axPos val="b"/>
        <c:numFmt formatCode="General" sourceLinked="0"/>
        <c:majorTickMark val="out"/>
        <c:minorTickMark val="none"/>
        <c:tickLblPos val="nextTo"/>
        <c:crossAx val="1190101983"/>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ayout>
        <c:manualLayout>
          <c:xMode val="edge"/>
          <c:yMode val="edge"/>
          <c:x val="5.4324165105487524E-4"/>
          <c:y val="3.6520137093744259E-3"/>
          <c:w val="0.99620243336385228"/>
          <c:h val="5.862208807778272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Template.xlsm]PivotChartTable16</c15:name>
        <c15:fmtId val="61"/>
      </c15:pivotSource>
      <c15:pivotOptions>
        <c15:dropZonesVisible val="1"/>
      </c15: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alpha val="70000"/>
            </a:schemeClr>
          </a:solidFill>
          <a:ln w="9525" cap="sq" cmpd="dbl">
            <a:solidFill>
              <a:schemeClr val="accent1"/>
            </a:solidFill>
            <a:prstDash val="dash"/>
          </a:ln>
          <a:effectLst/>
        </c:spPr>
        <c:marker>
          <c:symbol val="none"/>
        </c:marker>
      </c:pivotFmt>
      <c:pivotFmt>
        <c:idx val="2"/>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38100" cap="rnd">
            <a:solidFill>
              <a:srgbClr val="74503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8100" cap="rnd">
            <a:solidFill>
              <a:srgbClr val="B98E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B98E73">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4503A">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68475183700726E-2"/>
          <c:y val="0.19219791820639018"/>
          <c:w val="0.94201092841315703"/>
          <c:h val="0.78962874135453287"/>
        </c:manualLayout>
      </c:layout>
      <c:areaChart>
        <c:grouping val="standard"/>
        <c:varyColors val="0"/>
        <c:ser>
          <c:idx val="2"/>
          <c:order val="2"/>
          <c:tx>
            <c:v>Total Budget - Debt2</c:v>
          </c:tx>
          <c:spPr>
            <a:solidFill>
              <a:srgbClr val="B98E73">
                <a:alpha val="70000"/>
              </a:srgbClr>
            </a:solidFill>
            <a:ln>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Lit>
          </c:val>
          <c:extLst>
            <c:ext xmlns:c16="http://schemas.microsoft.com/office/drawing/2014/chart" uri="{C3380CC4-5D6E-409C-BE32-E72D297353CC}">
              <c16:uniqueId val="{00000000-0953-404B-B9B3-8B93E31974F5}"/>
            </c:ext>
          </c:extLst>
        </c:ser>
        <c:ser>
          <c:idx val="3"/>
          <c:order val="3"/>
          <c:tx>
            <c:v>Total Actuals - Debt2</c:v>
          </c:tx>
          <c:spPr>
            <a:solidFill>
              <a:srgbClr val="74503A">
                <a:alpha val="70000"/>
              </a:srgbClr>
            </a:solidFill>
            <a:ln>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2000</c:v>
              </c:pt>
              <c:pt idx="1">
                <c:v>40</c:v>
              </c:pt>
              <c:pt idx="2">
                <c:v>80</c:v>
              </c:pt>
              <c:pt idx="4">
                <c:v>40</c:v>
              </c:pt>
              <c:pt idx="10">
                <c:v>80</c:v>
              </c:pt>
            </c:numLit>
          </c:val>
          <c:extLst>
            <c:ext xmlns:c16="http://schemas.microsoft.com/office/drawing/2014/chart" uri="{C3380CC4-5D6E-409C-BE32-E72D297353CC}">
              <c16:uniqueId val="{00000002-0953-404B-B9B3-8B93E31974F5}"/>
            </c:ext>
          </c:extLst>
        </c:ser>
        <c:dLbls>
          <c:showLegendKey val="0"/>
          <c:showVal val="0"/>
          <c:showCatName val="0"/>
          <c:showSerName val="0"/>
          <c:showPercent val="0"/>
          <c:showBubbleSize val="0"/>
        </c:dLbls>
        <c:axId val="1412559568"/>
        <c:axId val="1412558608"/>
      </c:areaChart>
      <c:lineChart>
        <c:grouping val="standard"/>
        <c:varyColors val="0"/>
        <c:ser>
          <c:idx val="0"/>
          <c:order val="0"/>
          <c:tx>
            <c:v>Total Actuals - Debt</c:v>
          </c:tx>
          <c:spPr>
            <a:ln w="38100" cap="rnd">
              <a:solidFill>
                <a:srgbClr val="74503A"/>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2000</c:v>
              </c:pt>
              <c:pt idx="1">
                <c:v>40</c:v>
              </c:pt>
              <c:pt idx="2">
                <c:v>80</c:v>
              </c:pt>
              <c:pt idx="4">
                <c:v>40</c:v>
              </c:pt>
              <c:pt idx="10">
                <c:v>80</c:v>
              </c:pt>
            </c:numLit>
          </c:val>
          <c:smooth val="1"/>
          <c:extLst>
            <c:ext xmlns:c16="http://schemas.microsoft.com/office/drawing/2014/chart" uri="{C3380CC4-5D6E-409C-BE32-E72D297353CC}">
              <c16:uniqueId val="{0000000B-612C-42D7-B738-C1CC4E1B9018}"/>
            </c:ext>
          </c:extLst>
        </c:ser>
        <c:ser>
          <c:idx val="1"/>
          <c:order val="1"/>
          <c:tx>
            <c:v>Total Budget - Debt</c:v>
          </c:tx>
          <c:spPr>
            <a:ln w="38100" cap="rnd">
              <a:solidFill>
                <a:srgbClr val="B98E73"/>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Lit>
          </c:val>
          <c:smooth val="1"/>
          <c:extLst>
            <c:ext xmlns:c16="http://schemas.microsoft.com/office/drawing/2014/chart" uri="{C3380CC4-5D6E-409C-BE32-E72D297353CC}">
              <c16:uniqueId val="{0000000C-612C-42D7-B738-C1CC4E1B9018}"/>
            </c:ext>
          </c:extLst>
        </c:ser>
        <c:dLbls>
          <c:showLegendKey val="0"/>
          <c:showVal val="0"/>
          <c:showCatName val="0"/>
          <c:showSerName val="0"/>
          <c:showPercent val="0"/>
          <c:showBubbleSize val="0"/>
        </c:dLbls>
        <c:marker val="1"/>
        <c:smooth val="0"/>
        <c:axId val="1412559568"/>
        <c:axId val="1412558608"/>
      </c:lineChart>
      <c:catAx>
        <c:axId val="1412559568"/>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12558608"/>
        <c:crosses val="autoZero"/>
        <c:auto val="1"/>
        <c:lblAlgn val="ctr"/>
        <c:lblOffset val="100"/>
        <c:noMultiLvlLbl val="0"/>
        <c:extLst>
          <c:ext xmlns:c15="http://schemas.microsoft.com/office/drawing/2012/chart" uri="{F40574EE-89B7-4290-83BB-5DA773EAF853}">
            <c15:numFmt c:formatCode="General" c:sourceLinked="1"/>
          </c:ext>
        </c:extLst>
      </c:catAx>
      <c:valAx>
        <c:axId val="1412558608"/>
        <c:scaling>
          <c:orientation val="minMax"/>
          <c:min val="0"/>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5595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egendEntry>
        <c:idx val="0"/>
        <c:delete val="1"/>
      </c:legendEntry>
      <c:legendEntry>
        <c:idx val="1"/>
        <c:delete val="1"/>
      </c:legendEntry>
      <c:layout>
        <c:manualLayout>
          <c:xMode val="edge"/>
          <c:yMode val="edge"/>
          <c:x val="4.9135458601933045E-2"/>
          <c:y val="9.0600479160746414E-3"/>
          <c:w val="0.90357952581631906"/>
          <c:h val="7.9091920388259074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Template.xlsm]PivotChartTable17</c15:name>
        <c15:fmtId val="23"/>
      </c15:pivotSource>
      <c15:pivotOptions>
        <c15:dropZonesVisible val="1"/>
      </c15: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alpha val="70000"/>
            </a:schemeClr>
          </a:solidFill>
          <a:ln w="9525" cap="sq" cmpd="dbl">
            <a:solidFill>
              <a:schemeClr val="accent1"/>
            </a:solidFill>
            <a:prstDash val="dash"/>
          </a:ln>
          <a:effectLst/>
        </c:spPr>
        <c:marker>
          <c:symbol val="none"/>
        </c:marker>
      </c:pivotFmt>
      <c:pivotFmt>
        <c:idx val="2"/>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20000"/>
              <a:lumOff val="80000"/>
              <a:alpha val="70000"/>
            </a:schemeClr>
          </a:solidFill>
          <a:ln w="9525" cap="sq" cmpd="dbl">
            <a:solidFill>
              <a:schemeClr val="accent1"/>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38100" cap="rnd">
            <a:solidFill>
              <a:srgbClr val="A7B5C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8100" cap="rnd">
            <a:solidFill>
              <a:srgbClr val="61789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A7B5C5">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617891">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68475183700726E-2"/>
          <c:y val="0.19219791820639018"/>
          <c:w val="0.94201092841315703"/>
          <c:h val="0.78962874135453287"/>
        </c:manualLayout>
      </c:layout>
      <c:areaChart>
        <c:grouping val="standard"/>
        <c:varyColors val="0"/>
        <c:ser>
          <c:idx val="2"/>
          <c:order val="2"/>
          <c:tx>
            <c:v>Total Budget - Savings2</c:v>
          </c:tx>
          <c:spPr>
            <a:solidFill>
              <a:srgbClr val="A7B5C5">
                <a:alpha val="70000"/>
              </a:srgbClr>
            </a:solidFill>
            <a:ln>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670</c:v>
              </c:pt>
              <c:pt idx="1">
                <c:v>670</c:v>
              </c:pt>
              <c:pt idx="2">
                <c:v>670</c:v>
              </c:pt>
              <c:pt idx="3">
                <c:v>670</c:v>
              </c:pt>
              <c:pt idx="4">
                <c:v>670</c:v>
              </c:pt>
              <c:pt idx="5">
                <c:v>670</c:v>
              </c:pt>
              <c:pt idx="6">
                <c:v>670</c:v>
              </c:pt>
              <c:pt idx="7">
                <c:v>670</c:v>
              </c:pt>
              <c:pt idx="8">
                <c:v>670</c:v>
              </c:pt>
              <c:pt idx="9">
                <c:v>670</c:v>
              </c:pt>
              <c:pt idx="10">
                <c:v>670</c:v>
              </c:pt>
              <c:pt idx="11">
                <c:v>670</c:v>
              </c:pt>
            </c:numLit>
          </c:val>
          <c:extLst>
            <c:ext xmlns:c16="http://schemas.microsoft.com/office/drawing/2014/chart" uri="{C3380CC4-5D6E-409C-BE32-E72D297353CC}">
              <c16:uniqueId val="{00000000-8ACF-4973-A581-4702CE3489CB}"/>
            </c:ext>
          </c:extLst>
        </c:ser>
        <c:ser>
          <c:idx val="3"/>
          <c:order val="3"/>
          <c:tx>
            <c:v>Total Actuals - Savings2</c:v>
          </c:tx>
          <c:spPr>
            <a:solidFill>
              <a:srgbClr val="617891">
                <a:alpha val="70000"/>
              </a:srgbClr>
            </a:solidFill>
            <a:ln>
              <a:noFill/>
            </a:ln>
            <a:effectLst/>
          </c:spP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550</c:v>
              </c:pt>
              <c:pt idx="1">
                <c:v>100</c:v>
              </c:pt>
              <c:pt idx="2">
                <c:v>50</c:v>
              </c:pt>
              <c:pt idx="3">
                <c:v>40</c:v>
              </c:pt>
              <c:pt idx="4">
                <c:v>200</c:v>
              </c:pt>
              <c:pt idx="5">
                <c:v>150</c:v>
              </c:pt>
              <c:pt idx="6">
                <c:v>120</c:v>
              </c:pt>
              <c:pt idx="7">
                <c:v>100</c:v>
              </c:pt>
              <c:pt idx="8">
                <c:v>100</c:v>
              </c:pt>
              <c:pt idx="9">
                <c:v>50</c:v>
              </c:pt>
              <c:pt idx="11">
                <c:v>377</c:v>
              </c:pt>
            </c:numLit>
          </c:val>
          <c:extLst>
            <c:ext xmlns:c16="http://schemas.microsoft.com/office/drawing/2014/chart" uri="{C3380CC4-5D6E-409C-BE32-E72D297353CC}">
              <c16:uniqueId val="{00000002-8ACF-4973-A581-4702CE3489CB}"/>
            </c:ext>
          </c:extLst>
        </c:ser>
        <c:dLbls>
          <c:showLegendKey val="0"/>
          <c:showVal val="0"/>
          <c:showCatName val="0"/>
          <c:showSerName val="0"/>
          <c:showPercent val="0"/>
          <c:showBubbleSize val="0"/>
        </c:dLbls>
        <c:axId val="1412559568"/>
        <c:axId val="1412558608"/>
      </c:areaChart>
      <c:lineChart>
        <c:grouping val="standard"/>
        <c:varyColors val="0"/>
        <c:ser>
          <c:idx val="0"/>
          <c:order val="0"/>
          <c:tx>
            <c:v>Total Budget - Sav &amp; Inv</c:v>
          </c:tx>
          <c:spPr>
            <a:ln w="38100" cap="rnd">
              <a:solidFill>
                <a:srgbClr val="A7B5C5"/>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670</c:v>
              </c:pt>
              <c:pt idx="1">
                <c:v>670</c:v>
              </c:pt>
              <c:pt idx="2">
                <c:v>670</c:v>
              </c:pt>
              <c:pt idx="3">
                <c:v>670</c:v>
              </c:pt>
              <c:pt idx="4">
                <c:v>670</c:v>
              </c:pt>
              <c:pt idx="5">
                <c:v>670</c:v>
              </c:pt>
              <c:pt idx="6">
                <c:v>670</c:v>
              </c:pt>
              <c:pt idx="7">
                <c:v>670</c:v>
              </c:pt>
              <c:pt idx="8">
                <c:v>670</c:v>
              </c:pt>
              <c:pt idx="9">
                <c:v>670</c:v>
              </c:pt>
              <c:pt idx="10">
                <c:v>670</c:v>
              </c:pt>
              <c:pt idx="11">
                <c:v>670</c:v>
              </c:pt>
            </c:numLit>
          </c:val>
          <c:smooth val="1"/>
          <c:extLst>
            <c:ext xmlns:c16="http://schemas.microsoft.com/office/drawing/2014/chart" uri="{C3380CC4-5D6E-409C-BE32-E72D297353CC}">
              <c16:uniqueId val="{0000000B-3C0D-4E85-A688-85EE4F1281B7}"/>
            </c:ext>
          </c:extLst>
        </c:ser>
        <c:ser>
          <c:idx val="1"/>
          <c:order val="1"/>
          <c:tx>
            <c:v>Total Actuals - Sav &amp; Inv</c:v>
          </c:tx>
          <c:spPr>
            <a:ln w="38100" cap="rnd">
              <a:solidFill>
                <a:srgbClr val="617891"/>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550</c:v>
              </c:pt>
              <c:pt idx="1">
                <c:v>100</c:v>
              </c:pt>
              <c:pt idx="2">
                <c:v>50</c:v>
              </c:pt>
              <c:pt idx="3">
                <c:v>40</c:v>
              </c:pt>
              <c:pt idx="4">
                <c:v>200</c:v>
              </c:pt>
              <c:pt idx="5">
                <c:v>150</c:v>
              </c:pt>
              <c:pt idx="6">
                <c:v>120</c:v>
              </c:pt>
              <c:pt idx="7">
                <c:v>100</c:v>
              </c:pt>
              <c:pt idx="8">
                <c:v>100</c:v>
              </c:pt>
              <c:pt idx="9">
                <c:v>50</c:v>
              </c:pt>
              <c:pt idx="11">
                <c:v>377</c:v>
              </c:pt>
            </c:numLit>
          </c:val>
          <c:smooth val="1"/>
          <c:extLst>
            <c:ext xmlns:c16="http://schemas.microsoft.com/office/drawing/2014/chart" uri="{C3380CC4-5D6E-409C-BE32-E72D297353CC}">
              <c16:uniqueId val="{0000000C-3C0D-4E85-A688-85EE4F1281B7}"/>
            </c:ext>
          </c:extLst>
        </c:ser>
        <c:dLbls>
          <c:showLegendKey val="0"/>
          <c:showVal val="0"/>
          <c:showCatName val="0"/>
          <c:showSerName val="0"/>
          <c:showPercent val="0"/>
          <c:showBubbleSize val="0"/>
        </c:dLbls>
        <c:marker val="1"/>
        <c:smooth val="0"/>
        <c:axId val="1412559568"/>
        <c:axId val="1412558608"/>
      </c:lineChart>
      <c:catAx>
        <c:axId val="1412559568"/>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12558608"/>
        <c:crosses val="autoZero"/>
        <c:auto val="1"/>
        <c:lblAlgn val="ctr"/>
        <c:lblOffset val="100"/>
        <c:noMultiLvlLbl val="0"/>
        <c:extLst>
          <c:ext xmlns:c15="http://schemas.microsoft.com/office/drawing/2012/chart" uri="{F40574EE-89B7-4290-83BB-5DA773EAF853}">
            <c15:numFmt c:formatCode="General" c:sourceLinked="1"/>
          </c:ext>
        </c:extLst>
      </c:catAx>
      <c:valAx>
        <c:axId val="1412558608"/>
        <c:scaling>
          <c:orientation val="minMax"/>
          <c:min val="0"/>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5595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egendEntry>
        <c:idx val="0"/>
        <c:delete val="1"/>
      </c:legendEntry>
      <c:legendEntry>
        <c:idx val="1"/>
        <c:delete val="1"/>
      </c:legendEntry>
      <c:layout>
        <c:manualLayout>
          <c:xMode val="edge"/>
          <c:yMode val="edge"/>
          <c:x val="8.1605385368777456E-2"/>
          <c:y val="9.8041421152232477E-3"/>
          <c:w val="0.86513064660190198"/>
          <c:h val="6.657885328176897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[Yearly Budget Template.xlsm]PivotChartTable19</c15:name>
        <c15:fmtId val="28"/>
      </c15:pivotSource>
      <c15:pivotOptions>
        <c15:dropZonesVisible val="1"/>
      </c15: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image" Target="../media/image2.svg"/><Relationship Id="rId26" Type="http://schemas.openxmlformats.org/officeDocument/2006/relationships/image" Target="../media/image10.svg"/><Relationship Id="rId3" Type="http://schemas.openxmlformats.org/officeDocument/2006/relationships/chart" Target="../charts/chart15.xml"/><Relationship Id="rId21" Type="http://schemas.openxmlformats.org/officeDocument/2006/relationships/image" Target="../media/image5.png"/><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image" Target="../media/image1.png"/><Relationship Id="rId25" Type="http://schemas.openxmlformats.org/officeDocument/2006/relationships/image" Target="../media/image9.png"/><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image" Target="../media/image4.svg"/><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image" Target="../media/image8.svg"/><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image" Target="../media/image7.png"/><Relationship Id="rId10" Type="http://schemas.openxmlformats.org/officeDocument/2006/relationships/chart" Target="../charts/chart22.xml"/><Relationship Id="rId19" Type="http://schemas.openxmlformats.org/officeDocument/2006/relationships/image" Target="../media/image3.png"/><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142875</xdr:rowOff>
    </xdr:from>
    <xdr:to>
      <xdr:col>10</xdr:col>
      <xdr:colOff>95248</xdr:colOff>
      <xdr:row>6</xdr:row>
      <xdr:rowOff>171450</xdr:rowOff>
    </xdr:to>
    <xdr:sp macro="" textlink="">
      <xdr:nvSpPr>
        <xdr:cNvPr id="2" name="TextBox 1">
          <a:extLst>
            <a:ext uri="{FF2B5EF4-FFF2-40B4-BE49-F238E27FC236}">
              <a16:creationId xmlns:a16="http://schemas.microsoft.com/office/drawing/2014/main" id="{74FBC97C-3C83-2850-D3F6-D694B828D132}"/>
            </a:ext>
          </a:extLst>
        </xdr:cNvPr>
        <xdr:cNvSpPr txBox="1"/>
      </xdr:nvSpPr>
      <xdr:spPr>
        <a:xfrm>
          <a:off x="647700" y="342900"/>
          <a:ext cx="6176961" cy="628650"/>
        </a:xfrm>
        <a:prstGeom prst="rect">
          <a:avLst/>
        </a:prstGeom>
        <a:solidFill>
          <a:srgbClr val="E7D8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000">
              <a:solidFill>
                <a:schemeClr val="tx1">
                  <a:lumMod val="85000"/>
                  <a:lumOff val="15000"/>
                </a:schemeClr>
              </a:solidFill>
              <a:latin typeface="Aharoni" panose="02010803020104030203" pitchFamily="2" charset="-79"/>
              <a:cs typeface="Aharoni" panose="02010803020104030203" pitchFamily="2" charset="-79"/>
            </a:rPr>
            <a:t>CATEGORIES</a:t>
          </a:r>
        </a:p>
      </xdr:txBody>
    </xdr:sp>
    <xdr:clientData/>
  </xdr:twoCellAnchor>
  <xdr:twoCellAnchor>
    <xdr:from>
      <xdr:col>1</xdr:col>
      <xdr:colOff>547670</xdr:colOff>
      <xdr:row>7</xdr:row>
      <xdr:rowOff>133957</xdr:rowOff>
    </xdr:from>
    <xdr:to>
      <xdr:col>3</xdr:col>
      <xdr:colOff>1185843</xdr:colOff>
      <xdr:row>9</xdr:row>
      <xdr:rowOff>138723</xdr:rowOff>
    </xdr:to>
    <xdr:sp macro="" textlink="">
      <xdr:nvSpPr>
        <xdr:cNvPr id="3" name="TextBox 2">
          <a:extLst>
            <a:ext uri="{FF2B5EF4-FFF2-40B4-BE49-F238E27FC236}">
              <a16:creationId xmlns:a16="http://schemas.microsoft.com/office/drawing/2014/main" id="{D68916D9-4115-EED2-E843-6364682D07D4}"/>
            </a:ext>
          </a:extLst>
        </xdr:cNvPr>
        <xdr:cNvSpPr txBox="1"/>
      </xdr:nvSpPr>
      <xdr:spPr>
        <a:xfrm>
          <a:off x="1194882" y="1544390"/>
          <a:ext cx="1529615" cy="407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rgbClr val="25344F"/>
              </a:solidFill>
              <a:latin typeface="Aharoni" panose="02010803020104030203" pitchFamily="2" charset="-79"/>
              <a:cs typeface="Aharoni" panose="02010803020104030203" pitchFamily="2" charset="-79"/>
            </a:rPr>
            <a:t>INCOME</a:t>
          </a:r>
        </a:p>
      </xdr:txBody>
    </xdr:sp>
    <xdr:clientData/>
  </xdr:twoCellAnchor>
  <xdr:twoCellAnchor>
    <xdr:from>
      <xdr:col>6</xdr:col>
      <xdr:colOff>623869</xdr:colOff>
      <xdr:row>7</xdr:row>
      <xdr:rowOff>104775</xdr:rowOff>
    </xdr:from>
    <xdr:to>
      <xdr:col>9</xdr:col>
      <xdr:colOff>213702</xdr:colOff>
      <xdr:row>9</xdr:row>
      <xdr:rowOff>104775</xdr:rowOff>
    </xdr:to>
    <xdr:sp macro="" textlink="">
      <xdr:nvSpPr>
        <xdr:cNvPr id="4" name="TextBox 3">
          <a:extLst>
            <a:ext uri="{FF2B5EF4-FFF2-40B4-BE49-F238E27FC236}">
              <a16:creationId xmlns:a16="http://schemas.microsoft.com/office/drawing/2014/main" id="{44E7BAD0-C6B6-402C-84BB-21236735861F}"/>
            </a:ext>
          </a:extLst>
        </xdr:cNvPr>
        <xdr:cNvSpPr txBox="1"/>
      </xdr:nvSpPr>
      <xdr:spPr>
        <a:xfrm>
          <a:off x="4684206" y="1515208"/>
          <a:ext cx="1708534"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rgbClr val="632024"/>
              </a:solidFill>
              <a:latin typeface="Aharoni" panose="02010803020104030203" pitchFamily="2" charset="-79"/>
              <a:cs typeface="Aharoni" panose="02010803020104030203" pitchFamily="2" charset="-79"/>
            </a:rPr>
            <a:t>EXPENSES</a:t>
          </a:r>
        </a:p>
      </xdr:txBody>
    </xdr:sp>
    <xdr:clientData/>
  </xdr:twoCellAnchor>
  <xdr:twoCellAnchor>
    <xdr:from>
      <xdr:col>1</xdr:col>
      <xdr:colOff>587568</xdr:colOff>
      <xdr:row>34</xdr:row>
      <xdr:rowOff>184903</xdr:rowOff>
    </xdr:from>
    <xdr:to>
      <xdr:col>3</xdr:col>
      <xdr:colOff>1225741</xdr:colOff>
      <xdr:row>36</xdr:row>
      <xdr:rowOff>137952</xdr:rowOff>
    </xdr:to>
    <xdr:sp macro="" textlink="">
      <xdr:nvSpPr>
        <xdr:cNvPr id="5" name="TextBox 4">
          <a:extLst>
            <a:ext uri="{FF2B5EF4-FFF2-40B4-BE49-F238E27FC236}">
              <a16:creationId xmlns:a16="http://schemas.microsoft.com/office/drawing/2014/main" id="{92143544-19BC-424A-9D66-5ACA596F19F8}"/>
            </a:ext>
          </a:extLst>
        </xdr:cNvPr>
        <xdr:cNvSpPr txBox="1"/>
      </xdr:nvSpPr>
      <xdr:spPr>
        <a:xfrm>
          <a:off x="1235581" y="7242772"/>
          <a:ext cx="1528214" cy="35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rgbClr val="6F4D38"/>
              </a:solidFill>
              <a:latin typeface="Aharoni" panose="02010803020104030203" pitchFamily="2" charset="-79"/>
              <a:cs typeface="Aharoni" panose="02010803020104030203" pitchFamily="2" charset="-79"/>
            </a:rPr>
            <a:t>DEBT</a:t>
          </a:r>
        </a:p>
      </xdr:txBody>
    </xdr:sp>
    <xdr:clientData/>
  </xdr:twoCellAnchor>
  <xdr:twoCellAnchor>
    <xdr:from>
      <xdr:col>6</xdr:col>
      <xdr:colOff>650649</xdr:colOff>
      <xdr:row>34</xdr:row>
      <xdr:rowOff>174401</xdr:rowOff>
    </xdr:from>
    <xdr:to>
      <xdr:col>9</xdr:col>
      <xdr:colOff>1161759</xdr:colOff>
      <xdr:row>37</xdr:row>
      <xdr:rowOff>79373</xdr:rowOff>
    </xdr:to>
    <xdr:sp macro="" textlink="">
      <xdr:nvSpPr>
        <xdr:cNvPr id="6" name="TextBox 5">
          <a:extLst>
            <a:ext uri="{FF2B5EF4-FFF2-40B4-BE49-F238E27FC236}">
              <a16:creationId xmlns:a16="http://schemas.microsoft.com/office/drawing/2014/main" id="{9F22DFD6-0144-40D5-AF42-7B92892EC32D}"/>
            </a:ext>
          </a:extLst>
        </xdr:cNvPr>
        <xdr:cNvSpPr txBox="1"/>
      </xdr:nvSpPr>
      <xdr:spPr>
        <a:xfrm>
          <a:off x="6257411" y="7195481"/>
          <a:ext cx="4277815" cy="51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rgbClr val="617891"/>
              </a:solidFill>
              <a:latin typeface="Aharoni" panose="02010803020104030203" pitchFamily="2" charset="-79"/>
              <a:cs typeface="Aharoni" panose="02010803020104030203" pitchFamily="2" charset="-79"/>
            </a:rPr>
            <a:t>SAVINGS &amp; INVESTMENTS</a:t>
          </a:r>
        </a:p>
        <a:p>
          <a:endParaRPr lang="en-GB" sz="2400">
            <a:solidFill>
              <a:srgbClr val="617891"/>
            </a:solidFill>
            <a:latin typeface="Aharoni" panose="02010803020104030203" pitchFamily="2" charset="-79"/>
            <a:cs typeface="Aharoni" panose="02010803020104030203" pitchFamily="2" charset="-79"/>
          </a:endParaRPr>
        </a:p>
      </xdr:txBody>
    </xdr:sp>
    <xdr:clientData/>
  </xdr:twoCellAnchor>
  <xdr:twoCellAnchor>
    <xdr:from>
      <xdr:col>12</xdr:col>
      <xdr:colOff>375227</xdr:colOff>
      <xdr:row>3</xdr:row>
      <xdr:rowOff>137103</xdr:rowOff>
    </xdr:from>
    <xdr:to>
      <xdr:col>23</xdr:col>
      <xdr:colOff>274204</xdr:colOff>
      <xdr:row>6</xdr:row>
      <xdr:rowOff>165678</xdr:rowOff>
    </xdr:to>
    <xdr:sp macro="" textlink="">
      <xdr:nvSpPr>
        <xdr:cNvPr id="7" name="TextBox 6">
          <a:extLst>
            <a:ext uri="{FF2B5EF4-FFF2-40B4-BE49-F238E27FC236}">
              <a16:creationId xmlns:a16="http://schemas.microsoft.com/office/drawing/2014/main" id="{07C63A06-4C34-48C3-8E8F-4300B09010B5}"/>
            </a:ext>
          </a:extLst>
        </xdr:cNvPr>
        <xdr:cNvSpPr txBox="1"/>
      </xdr:nvSpPr>
      <xdr:spPr>
        <a:xfrm>
          <a:off x="11704204" y="743239"/>
          <a:ext cx="7042727" cy="634712"/>
        </a:xfrm>
        <a:prstGeom prst="rect">
          <a:avLst/>
        </a:prstGeom>
        <a:solidFill>
          <a:srgbClr val="E7D8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000">
              <a:solidFill>
                <a:schemeClr val="tx1">
                  <a:lumMod val="85000"/>
                  <a:lumOff val="15000"/>
                </a:schemeClr>
              </a:solidFill>
              <a:latin typeface="Aharoni" panose="02010803020104030203" pitchFamily="2" charset="-79"/>
              <a:cs typeface="Aharoni" panose="02010803020104030203" pitchFamily="2" charset="-79"/>
            </a:rPr>
            <a:t>SETTINGS</a:t>
          </a:r>
        </a:p>
      </xdr:txBody>
    </xdr:sp>
    <xdr:clientData/>
  </xdr:twoCellAnchor>
  <xdr:twoCellAnchor>
    <xdr:from>
      <xdr:col>12</xdr:col>
      <xdr:colOff>490683</xdr:colOff>
      <xdr:row>12</xdr:row>
      <xdr:rowOff>7216</xdr:rowOff>
    </xdr:from>
    <xdr:to>
      <xdr:col>17</xdr:col>
      <xdr:colOff>266990</xdr:colOff>
      <xdr:row>15</xdr:row>
      <xdr:rowOff>28575</xdr:rowOff>
    </xdr:to>
    <xdr:sp macro="" textlink="">
      <xdr:nvSpPr>
        <xdr:cNvPr id="8" name="TextBox 7">
          <a:extLst>
            <a:ext uri="{FF2B5EF4-FFF2-40B4-BE49-F238E27FC236}">
              <a16:creationId xmlns:a16="http://schemas.microsoft.com/office/drawing/2014/main" id="{BDDA654B-A645-44E3-9D7C-406F60A38438}"/>
            </a:ext>
          </a:extLst>
        </xdr:cNvPr>
        <xdr:cNvSpPr txBox="1"/>
      </xdr:nvSpPr>
      <xdr:spPr>
        <a:xfrm>
          <a:off x="11819660" y="2576080"/>
          <a:ext cx="3023466" cy="634712"/>
        </a:xfrm>
        <a:prstGeom prst="rect">
          <a:avLst/>
        </a:prstGeom>
        <a:solidFill>
          <a:srgbClr val="E7D8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000">
              <a:solidFill>
                <a:schemeClr val="tx1">
                  <a:lumMod val="85000"/>
                  <a:lumOff val="15000"/>
                </a:schemeClr>
              </a:solidFill>
              <a:latin typeface="Aharoni" panose="02010803020104030203" pitchFamily="2" charset="-79"/>
              <a:cs typeface="Aharoni" panose="02010803020104030203" pitchFamily="2" charset="-79"/>
            </a:rPr>
            <a:t>YEAR</a:t>
          </a:r>
        </a:p>
      </xdr:txBody>
    </xdr:sp>
    <xdr:clientData/>
  </xdr:twoCellAnchor>
  <xdr:twoCellAnchor>
    <xdr:from>
      <xdr:col>12</xdr:col>
      <xdr:colOff>461818</xdr:colOff>
      <xdr:row>18</xdr:row>
      <xdr:rowOff>165964</xdr:rowOff>
    </xdr:from>
    <xdr:to>
      <xdr:col>17</xdr:col>
      <xdr:colOff>238125</xdr:colOff>
      <xdr:row>21</xdr:row>
      <xdr:rowOff>194540</xdr:rowOff>
    </xdr:to>
    <xdr:sp macro="" textlink="">
      <xdr:nvSpPr>
        <xdr:cNvPr id="9" name="TextBox 8">
          <a:extLst>
            <a:ext uri="{FF2B5EF4-FFF2-40B4-BE49-F238E27FC236}">
              <a16:creationId xmlns:a16="http://schemas.microsoft.com/office/drawing/2014/main" id="{1CD312EF-7CB1-460C-A927-D70F34F8EB8D}"/>
            </a:ext>
          </a:extLst>
        </xdr:cNvPr>
        <xdr:cNvSpPr txBox="1"/>
      </xdr:nvSpPr>
      <xdr:spPr>
        <a:xfrm>
          <a:off x="11790795" y="3954317"/>
          <a:ext cx="3023466" cy="634712"/>
        </a:xfrm>
        <a:prstGeom prst="rect">
          <a:avLst/>
        </a:prstGeom>
        <a:solidFill>
          <a:srgbClr val="E7D8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000">
              <a:solidFill>
                <a:schemeClr val="tx1">
                  <a:lumMod val="85000"/>
                  <a:lumOff val="15000"/>
                </a:schemeClr>
              </a:solidFill>
              <a:latin typeface="Aharoni" panose="02010803020104030203" pitchFamily="2" charset="-79"/>
              <a:cs typeface="Aharoni" panose="02010803020104030203" pitchFamily="2" charset="-79"/>
            </a:rPr>
            <a:t>NAME</a:t>
          </a:r>
        </a:p>
      </xdr:txBody>
    </xdr:sp>
    <xdr:clientData/>
  </xdr:twoCellAnchor>
  <xdr:twoCellAnchor>
    <xdr:from>
      <xdr:col>12</xdr:col>
      <xdr:colOff>490682</xdr:colOff>
      <xdr:row>25</xdr:row>
      <xdr:rowOff>187614</xdr:rowOff>
    </xdr:from>
    <xdr:to>
      <xdr:col>17</xdr:col>
      <xdr:colOff>266989</xdr:colOff>
      <xdr:row>29</xdr:row>
      <xdr:rowOff>14144</xdr:rowOff>
    </xdr:to>
    <xdr:sp macro="" textlink="">
      <xdr:nvSpPr>
        <xdr:cNvPr id="10" name="TextBox 9">
          <a:extLst>
            <a:ext uri="{FF2B5EF4-FFF2-40B4-BE49-F238E27FC236}">
              <a16:creationId xmlns:a16="http://schemas.microsoft.com/office/drawing/2014/main" id="{D94E61FC-B92B-4153-A253-4954332ED650}"/>
            </a:ext>
          </a:extLst>
        </xdr:cNvPr>
        <xdr:cNvSpPr txBox="1"/>
      </xdr:nvSpPr>
      <xdr:spPr>
        <a:xfrm>
          <a:off x="11819659" y="5390285"/>
          <a:ext cx="3023466" cy="634712"/>
        </a:xfrm>
        <a:prstGeom prst="rect">
          <a:avLst/>
        </a:prstGeom>
        <a:solidFill>
          <a:srgbClr val="E7D8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000">
              <a:solidFill>
                <a:schemeClr val="tx1">
                  <a:lumMod val="85000"/>
                  <a:lumOff val="15000"/>
                </a:schemeClr>
              </a:solidFill>
              <a:latin typeface="Aharoni" panose="02010803020104030203" pitchFamily="2" charset="-79"/>
              <a:cs typeface="Aharoni" panose="02010803020104030203" pitchFamily="2" charset="-79"/>
            </a:rPr>
            <a:t>CURRENCY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589644</xdr:colOff>
      <xdr:row>11</xdr:row>
      <xdr:rowOff>0</xdr:rowOff>
    </xdr:from>
    <xdr:to>
      <xdr:col>6</xdr:col>
      <xdr:colOff>207399</xdr:colOff>
      <xdr:row>14</xdr:row>
      <xdr:rowOff>136072</xdr:rowOff>
    </xdr:to>
    <xdr:sp macro="" textlink="">
      <xdr:nvSpPr>
        <xdr:cNvPr id="2" name="TextBox 1">
          <a:extLst>
            <a:ext uri="{FF2B5EF4-FFF2-40B4-BE49-F238E27FC236}">
              <a16:creationId xmlns:a16="http://schemas.microsoft.com/office/drawing/2014/main" id="{E6A19036-95AA-439B-B1E3-C83F6EABBFFA}"/>
            </a:ext>
          </a:extLst>
        </xdr:cNvPr>
        <xdr:cNvSpPr txBox="1"/>
      </xdr:nvSpPr>
      <xdr:spPr>
        <a:xfrm>
          <a:off x="589644" y="2097037"/>
          <a:ext cx="3228037" cy="689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000">
              <a:solidFill>
                <a:srgbClr val="25344F"/>
              </a:solidFill>
              <a:latin typeface="Aharoni" panose="02010803020104030203" pitchFamily="2" charset="-79"/>
              <a:cs typeface="Aharoni" panose="02010803020104030203" pitchFamily="2" charset="-79"/>
            </a:rPr>
            <a:t>INCOME GOALS</a:t>
          </a:r>
        </a:p>
      </xdr:txBody>
    </xdr:sp>
    <xdr:clientData/>
  </xdr:twoCellAnchor>
  <xdr:twoCellAnchor>
    <xdr:from>
      <xdr:col>2</xdr:col>
      <xdr:colOff>600982</xdr:colOff>
      <xdr:row>33</xdr:row>
      <xdr:rowOff>0</xdr:rowOff>
    </xdr:from>
    <xdr:to>
      <xdr:col>8</xdr:col>
      <xdr:colOff>498928</xdr:colOff>
      <xdr:row>36</xdr:row>
      <xdr:rowOff>102054</xdr:rowOff>
    </xdr:to>
    <xdr:sp macro="" textlink="">
      <xdr:nvSpPr>
        <xdr:cNvPr id="3" name="TextBox 2">
          <a:extLst>
            <a:ext uri="{FF2B5EF4-FFF2-40B4-BE49-F238E27FC236}">
              <a16:creationId xmlns:a16="http://schemas.microsoft.com/office/drawing/2014/main" id="{35316C3B-3818-49EB-858B-D1A8F112EC0B}"/>
            </a:ext>
          </a:extLst>
        </xdr:cNvPr>
        <xdr:cNvSpPr txBox="1"/>
      </xdr:nvSpPr>
      <xdr:spPr>
        <a:xfrm>
          <a:off x="600982" y="8481786"/>
          <a:ext cx="3787322" cy="646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000">
              <a:solidFill>
                <a:srgbClr val="632024"/>
              </a:solidFill>
              <a:latin typeface="Aharoni" panose="02010803020104030203" pitchFamily="2" charset="-79"/>
              <a:cs typeface="Aharoni" panose="02010803020104030203" pitchFamily="2" charset="-79"/>
            </a:rPr>
            <a:t>EXPENSES BUDGET</a:t>
          </a:r>
        </a:p>
      </xdr:txBody>
    </xdr:sp>
    <xdr:clientData/>
  </xdr:twoCellAnchor>
  <xdr:twoCellAnchor>
    <xdr:from>
      <xdr:col>2</xdr:col>
      <xdr:colOff>578307</xdr:colOff>
      <xdr:row>65</xdr:row>
      <xdr:rowOff>45357</xdr:rowOff>
    </xdr:from>
    <xdr:to>
      <xdr:col>8</xdr:col>
      <xdr:colOff>102056</xdr:colOff>
      <xdr:row>68</xdr:row>
      <xdr:rowOff>79376</xdr:rowOff>
    </xdr:to>
    <xdr:sp macro="" textlink="">
      <xdr:nvSpPr>
        <xdr:cNvPr id="5" name="TextBox 4">
          <a:extLst>
            <a:ext uri="{FF2B5EF4-FFF2-40B4-BE49-F238E27FC236}">
              <a16:creationId xmlns:a16="http://schemas.microsoft.com/office/drawing/2014/main" id="{36EF0D0B-980D-4D0C-BA6D-58538397DFE8}"/>
            </a:ext>
          </a:extLst>
        </xdr:cNvPr>
        <xdr:cNvSpPr txBox="1"/>
      </xdr:nvSpPr>
      <xdr:spPr>
        <a:xfrm>
          <a:off x="578307" y="14990536"/>
          <a:ext cx="3413125" cy="578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000">
              <a:solidFill>
                <a:srgbClr val="6F4D38"/>
              </a:solidFill>
              <a:latin typeface="Aharoni" panose="02010803020104030203" pitchFamily="2" charset="-79"/>
              <a:cs typeface="Aharoni" panose="02010803020104030203" pitchFamily="2" charset="-79"/>
            </a:rPr>
            <a:t>DEBT REPAYMENT</a:t>
          </a:r>
        </a:p>
      </xdr:txBody>
    </xdr:sp>
    <xdr:clientData/>
  </xdr:twoCellAnchor>
  <xdr:twoCellAnchor>
    <xdr:from>
      <xdr:col>2</xdr:col>
      <xdr:colOff>597477</xdr:colOff>
      <xdr:row>86</xdr:row>
      <xdr:rowOff>173181</xdr:rowOff>
    </xdr:from>
    <xdr:to>
      <xdr:col>7</xdr:col>
      <xdr:colOff>432955</xdr:colOff>
      <xdr:row>89</xdr:row>
      <xdr:rowOff>77931</xdr:rowOff>
    </xdr:to>
    <xdr:sp macro="" textlink="">
      <xdr:nvSpPr>
        <xdr:cNvPr id="6" name="TextBox 5">
          <a:extLst>
            <a:ext uri="{FF2B5EF4-FFF2-40B4-BE49-F238E27FC236}">
              <a16:creationId xmlns:a16="http://schemas.microsoft.com/office/drawing/2014/main" id="{9664BE4E-4B55-4D52-BAC1-3015FFB9F139}"/>
            </a:ext>
          </a:extLst>
        </xdr:cNvPr>
        <xdr:cNvSpPr txBox="1"/>
      </xdr:nvSpPr>
      <xdr:spPr>
        <a:xfrm>
          <a:off x="597477" y="21275386"/>
          <a:ext cx="3073978" cy="450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000">
              <a:solidFill>
                <a:srgbClr val="617891"/>
              </a:solidFill>
              <a:latin typeface="Aharoni" panose="02010803020104030203" pitchFamily="2" charset="-79"/>
              <a:cs typeface="Aharoni" panose="02010803020104030203" pitchFamily="2" charset="-79"/>
            </a:rPr>
            <a:t>SAVINGS</a:t>
          </a:r>
          <a:r>
            <a:rPr lang="en-GB" sz="3000" baseline="0">
              <a:solidFill>
                <a:srgbClr val="617891"/>
              </a:solidFill>
              <a:latin typeface="Aharoni" panose="02010803020104030203" pitchFamily="2" charset="-79"/>
              <a:cs typeface="Aharoni" panose="02010803020104030203" pitchFamily="2" charset="-79"/>
            </a:rPr>
            <a:t> &amp; INVESTMENTS</a:t>
          </a:r>
          <a:endParaRPr lang="en-GB" sz="3000">
            <a:solidFill>
              <a:srgbClr val="617891"/>
            </a:solidFill>
            <a:latin typeface="Aharoni" panose="02010803020104030203" pitchFamily="2" charset="-79"/>
            <a:cs typeface="Aharoni" panose="02010803020104030203" pitchFamily="2" charset="-79"/>
          </a:endParaRPr>
        </a:p>
      </xdr:txBody>
    </xdr:sp>
    <xdr:clientData/>
  </xdr:twoCellAnchor>
  <xdr:twoCellAnchor>
    <xdr:from>
      <xdr:col>21</xdr:col>
      <xdr:colOff>163317</xdr:colOff>
      <xdr:row>16</xdr:row>
      <xdr:rowOff>251299</xdr:rowOff>
    </xdr:from>
    <xdr:to>
      <xdr:col>25</xdr:col>
      <xdr:colOff>85997</xdr:colOff>
      <xdr:row>21</xdr:row>
      <xdr:rowOff>113393</xdr:rowOff>
    </xdr:to>
    <xdr:graphicFrame macro="">
      <xdr:nvGraphicFramePr>
        <xdr:cNvPr id="7" name="Chart 5">
          <a:extLst>
            <a:ext uri="{FF2B5EF4-FFF2-40B4-BE49-F238E27FC236}">
              <a16:creationId xmlns:a16="http://schemas.microsoft.com/office/drawing/2014/main" id="{6D3C79A3-416F-78F8-4C65-B5C109C6E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133350</xdr:colOff>
      <xdr:row>22</xdr:row>
      <xdr:rowOff>302381</xdr:rowOff>
    </xdr:from>
    <xdr:to>
      <xdr:col>24</xdr:col>
      <xdr:colOff>362610</xdr:colOff>
      <xdr:row>28</xdr:row>
      <xdr:rowOff>2519</xdr:rowOff>
    </xdr:to>
    <xdr:graphicFrame macro="">
      <xdr:nvGraphicFramePr>
        <xdr:cNvPr id="4" name="Chart 3">
          <a:extLst>
            <a:ext uri="{FF2B5EF4-FFF2-40B4-BE49-F238E27FC236}">
              <a16:creationId xmlns:a16="http://schemas.microsoft.com/office/drawing/2014/main" id="{0688AB9B-FE62-147B-361B-FA79E9299D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390525</xdr:colOff>
      <xdr:row>16</xdr:row>
      <xdr:rowOff>306161</xdr:rowOff>
    </xdr:from>
    <xdr:to>
      <xdr:col>28</xdr:col>
      <xdr:colOff>609598</xdr:colOff>
      <xdr:row>29</xdr:row>
      <xdr:rowOff>64265</xdr:rowOff>
    </xdr:to>
    <xdr:graphicFrame macro="">
      <xdr:nvGraphicFramePr>
        <xdr:cNvPr id="10" name="Chart 9">
          <a:extLst>
            <a:ext uri="{FF2B5EF4-FFF2-40B4-BE49-F238E27FC236}">
              <a16:creationId xmlns:a16="http://schemas.microsoft.com/office/drawing/2014/main" id="{42CA4A3C-CFE2-3977-CA43-7274A99FE1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56697</xdr:colOff>
      <xdr:row>38</xdr:row>
      <xdr:rowOff>212655</xdr:rowOff>
    </xdr:from>
    <xdr:to>
      <xdr:col>24</xdr:col>
      <xdr:colOff>269630</xdr:colOff>
      <xdr:row>43</xdr:row>
      <xdr:rowOff>221474</xdr:rowOff>
    </xdr:to>
    <xdr:graphicFrame macro="">
      <xdr:nvGraphicFramePr>
        <xdr:cNvPr id="18" name="Chart 17">
          <a:extLst>
            <a:ext uri="{FF2B5EF4-FFF2-40B4-BE49-F238E27FC236}">
              <a16:creationId xmlns:a16="http://schemas.microsoft.com/office/drawing/2014/main" id="{D0CB6E0E-55D3-49D3-B375-0821749841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543339</xdr:colOff>
      <xdr:row>38</xdr:row>
      <xdr:rowOff>295276</xdr:rowOff>
    </xdr:from>
    <xdr:to>
      <xdr:col>29</xdr:col>
      <xdr:colOff>85788</xdr:colOff>
      <xdr:row>43</xdr:row>
      <xdr:rowOff>219075</xdr:rowOff>
    </xdr:to>
    <xdr:graphicFrame macro="">
      <xdr:nvGraphicFramePr>
        <xdr:cNvPr id="21" name="Chart 20">
          <a:extLst>
            <a:ext uri="{FF2B5EF4-FFF2-40B4-BE49-F238E27FC236}">
              <a16:creationId xmlns:a16="http://schemas.microsoft.com/office/drawing/2014/main" id="{60A637E5-65A1-C196-1493-13427341C1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28575</xdr:colOff>
      <xdr:row>44</xdr:row>
      <xdr:rowOff>314325</xdr:rowOff>
    </xdr:from>
    <xdr:to>
      <xdr:col>28</xdr:col>
      <xdr:colOff>601579</xdr:colOff>
      <xdr:row>60</xdr:row>
      <xdr:rowOff>284749</xdr:rowOff>
    </xdr:to>
    <xdr:graphicFrame macro="">
      <xdr:nvGraphicFramePr>
        <xdr:cNvPr id="22" name="Chart 21">
          <a:extLst>
            <a:ext uri="{FF2B5EF4-FFF2-40B4-BE49-F238E27FC236}">
              <a16:creationId xmlns:a16="http://schemas.microsoft.com/office/drawing/2014/main" id="{09958782-A08D-86DD-AF24-C1460995B1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317048</xdr:colOff>
      <xdr:row>70</xdr:row>
      <xdr:rowOff>126503</xdr:rowOff>
    </xdr:from>
    <xdr:to>
      <xdr:col>25</xdr:col>
      <xdr:colOff>9526</xdr:colOff>
      <xdr:row>75</xdr:row>
      <xdr:rowOff>73031</xdr:rowOff>
    </xdr:to>
    <xdr:graphicFrame macro="">
      <xdr:nvGraphicFramePr>
        <xdr:cNvPr id="27" name="Chart 26">
          <a:extLst>
            <a:ext uri="{FF2B5EF4-FFF2-40B4-BE49-F238E27FC236}">
              <a16:creationId xmlns:a16="http://schemas.microsoft.com/office/drawing/2014/main" id="{27EC34C0-FA82-46E0-ABCF-6ABF7E766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88196</xdr:colOff>
      <xdr:row>77</xdr:row>
      <xdr:rowOff>105832</xdr:rowOff>
    </xdr:from>
    <xdr:to>
      <xdr:col>24</xdr:col>
      <xdr:colOff>332619</xdr:colOff>
      <xdr:row>82</xdr:row>
      <xdr:rowOff>158749</xdr:rowOff>
    </xdr:to>
    <xdr:graphicFrame macro="">
      <xdr:nvGraphicFramePr>
        <xdr:cNvPr id="28" name="Chart 27">
          <a:extLst>
            <a:ext uri="{FF2B5EF4-FFF2-40B4-BE49-F238E27FC236}">
              <a16:creationId xmlns:a16="http://schemas.microsoft.com/office/drawing/2014/main" id="{A22E761E-39BE-0963-7E79-3F3D74C23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428624</xdr:colOff>
      <xdr:row>71</xdr:row>
      <xdr:rowOff>29766</xdr:rowOff>
    </xdr:from>
    <xdr:to>
      <xdr:col>28</xdr:col>
      <xdr:colOff>500059</xdr:colOff>
      <xdr:row>82</xdr:row>
      <xdr:rowOff>97024</xdr:rowOff>
    </xdr:to>
    <xdr:graphicFrame macro="">
      <xdr:nvGraphicFramePr>
        <xdr:cNvPr id="29" name="Chart 28">
          <a:extLst>
            <a:ext uri="{FF2B5EF4-FFF2-40B4-BE49-F238E27FC236}">
              <a16:creationId xmlns:a16="http://schemas.microsoft.com/office/drawing/2014/main" id="{8E6C1678-5B5E-FE91-912F-670C001EA8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318528</xdr:colOff>
      <xdr:row>92</xdr:row>
      <xdr:rowOff>260450</xdr:rowOff>
    </xdr:from>
    <xdr:to>
      <xdr:col>25</xdr:col>
      <xdr:colOff>31554</xdr:colOff>
      <xdr:row>97</xdr:row>
      <xdr:rowOff>104180</xdr:rowOff>
    </xdr:to>
    <xdr:graphicFrame macro="">
      <xdr:nvGraphicFramePr>
        <xdr:cNvPr id="33" name="Chart 32">
          <a:extLst>
            <a:ext uri="{FF2B5EF4-FFF2-40B4-BE49-F238E27FC236}">
              <a16:creationId xmlns:a16="http://schemas.microsoft.com/office/drawing/2014/main" id="{DE027FF3-5CA2-4CE3-82F5-B984352522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65066</xdr:colOff>
      <xdr:row>99</xdr:row>
      <xdr:rowOff>64257</xdr:rowOff>
    </xdr:from>
    <xdr:to>
      <xdr:col>24</xdr:col>
      <xdr:colOff>335946</xdr:colOff>
      <xdr:row>104</xdr:row>
      <xdr:rowOff>64257</xdr:rowOff>
    </xdr:to>
    <xdr:graphicFrame macro="">
      <xdr:nvGraphicFramePr>
        <xdr:cNvPr id="34" name="Chart 33">
          <a:extLst>
            <a:ext uri="{FF2B5EF4-FFF2-40B4-BE49-F238E27FC236}">
              <a16:creationId xmlns:a16="http://schemas.microsoft.com/office/drawing/2014/main" id="{60607A48-172D-D003-B169-D0DC1E5925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371474</xdr:colOff>
      <xdr:row>92</xdr:row>
      <xdr:rowOff>253009</xdr:rowOff>
    </xdr:from>
    <xdr:to>
      <xdr:col>28</xdr:col>
      <xdr:colOff>493889</xdr:colOff>
      <xdr:row>104</xdr:row>
      <xdr:rowOff>158750</xdr:rowOff>
    </xdr:to>
    <xdr:graphicFrame macro="">
      <xdr:nvGraphicFramePr>
        <xdr:cNvPr id="35" name="Chart 34">
          <a:extLst>
            <a:ext uri="{FF2B5EF4-FFF2-40B4-BE49-F238E27FC236}">
              <a16:creationId xmlns:a16="http://schemas.microsoft.com/office/drawing/2014/main" id="{C9159345-4A32-664E-6A7E-F7CB52FCB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610559</xdr:colOff>
      <xdr:row>11</xdr:row>
      <xdr:rowOff>1523</xdr:rowOff>
    </xdr:from>
    <xdr:to>
      <xdr:col>6</xdr:col>
      <xdr:colOff>64943</xdr:colOff>
      <xdr:row>13</xdr:row>
      <xdr:rowOff>164224</xdr:rowOff>
    </xdr:to>
    <xdr:sp macro="" textlink="">
      <xdr:nvSpPr>
        <xdr:cNvPr id="3" name="TextBox 2">
          <a:extLst>
            <a:ext uri="{FF2B5EF4-FFF2-40B4-BE49-F238E27FC236}">
              <a16:creationId xmlns:a16="http://schemas.microsoft.com/office/drawing/2014/main" id="{F10F47A0-9F70-437D-A4B8-8A6BD56EC10C}"/>
            </a:ext>
          </a:extLst>
        </xdr:cNvPr>
        <xdr:cNvSpPr txBox="1"/>
      </xdr:nvSpPr>
      <xdr:spPr>
        <a:xfrm>
          <a:off x="610559" y="1985899"/>
          <a:ext cx="2809782" cy="703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a:solidFill>
                <a:srgbClr val="25344F"/>
              </a:solidFill>
              <a:latin typeface="Aharoni" panose="02010803020104030203" pitchFamily="2" charset="-79"/>
              <a:cs typeface="Aharoni" panose="02010803020104030203" pitchFamily="2" charset="-79"/>
            </a:rPr>
            <a:t>INCOME</a:t>
          </a:r>
        </a:p>
      </xdr:txBody>
    </xdr:sp>
    <xdr:clientData/>
  </xdr:twoCellAnchor>
  <xdr:twoCellAnchor>
    <xdr:from>
      <xdr:col>0</xdr:col>
      <xdr:colOff>551768</xdr:colOff>
      <xdr:row>34</xdr:row>
      <xdr:rowOff>219808</xdr:rowOff>
    </xdr:from>
    <xdr:to>
      <xdr:col>7</xdr:col>
      <xdr:colOff>241055</xdr:colOff>
      <xdr:row>37</xdr:row>
      <xdr:rowOff>128221</xdr:rowOff>
    </xdr:to>
    <xdr:sp macro="" textlink="">
      <xdr:nvSpPr>
        <xdr:cNvPr id="34" name="TextBox 33">
          <a:extLst>
            <a:ext uri="{FF2B5EF4-FFF2-40B4-BE49-F238E27FC236}">
              <a16:creationId xmlns:a16="http://schemas.microsoft.com/office/drawing/2014/main" id="{649DF0D9-13A6-40B1-A3BF-BA89B2B50282}"/>
            </a:ext>
          </a:extLst>
        </xdr:cNvPr>
        <xdr:cNvSpPr txBox="1"/>
      </xdr:nvSpPr>
      <xdr:spPr>
        <a:xfrm>
          <a:off x="551768" y="9195289"/>
          <a:ext cx="3654985" cy="677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a:solidFill>
                <a:srgbClr val="632024"/>
              </a:solidFill>
              <a:latin typeface="Aharoni" panose="02010803020104030203" pitchFamily="2" charset="-79"/>
              <a:cs typeface="Aharoni" panose="02010803020104030203" pitchFamily="2" charset="-79"/>
            </a:rPr>
            <a:t>EXPENSES</a:t>
          </a:r>
        </a:p>
      </xdr:txBody>
    </xdr:sp>
    <xdr:clientData/>
  </xdr:twoCellAnchor>
  <xdr:twoCellAnchor>
    <xdr:from>
      <xdr:col>7</xdr:col>
      <xdr:colOff>58001</xdr:colOff>
      <xdr:row>14</xdr:row>
      <xdr:rowOff>82427</xdr:rowOff>
    </xdr:from>
    <xdr:to>
      <xdr:col>11</xdr:col>
      <xdr:colOff>603908</xdr:colOff>
      <xdr:row>31</xdr:row>
      <xdr:rowOff>192331</xdr:rowOff>
    </xdr:to>
    <xdr:grpSp>
      <xdr:nvGrpSpPr>
        <xdr:cNvPr id="45" name="Group 44">
          <a:extLst>
            <a:ext uri="{FF2B5EF4-FFF2-40B4-BE49-F238E27FC236}">
              <a16:creationId xmlns:a16="http://schemas.microsoft.com/office/drawing/2014/main" id="{A6EEAB99-89A1-C8A4-49E9-249351A84FB9}"/>
            </a:ext>
          </a:extLst>
        </xdr:cNvPr>
        <xdr:cNvGrpSpPr/>
      </xdr:nvGrpSpPr>
      <xdr:grpSpPr>
        <a:xfrm>
          <a:off x="4322926" y="3664964"/>
          <a:ext cx="3204378" cy="3934121"/>
          <a:chOff x="6215743" y="3089236"/>
          <a:chExt cx="3734175" cy="2735668"/>
        </a:xfrm>
      </xdr:grpSpPr>
      <xdr:grpSp>
        <xdr:nvGrpSpPr>
          <xdr:cNvPr id="11" name="Group 10">
            <a:extLst>
              <a:ext uri="{FF2B5EF4-FFF2-40B4-BE49-F238E27FC236}">
                <a16:creationId xmlns:a16="http://schemas.microsoft.com/office/drawing/2014/main" id="{6D7CE852-4BB9-F4BB-4CAF-3CF409ED04CC}"/>
              </a:ext>
            </a:extLst>
          </xdr:cNvPr>
          <xdr:cNvGrpSpPr/>
        </xdr:nvGrpSpPr>
        <xdr:grpSpPr>
          <a:xfrm>
            <a:off x="6312121" y="3547169"/>
            <a:ext cx="3637797" cy="2277735"/>
            <a:chOff x="4045186" y="2715918"/>
            <a:chExt cx="2927586" cy="1990256"/>
          </a:xfrm>
          <a:noFill/>
        </xdr:grpSpPr>
        <xdr:grpSp>
          <xdr:nvGrpSpPr>
            <xdr:cNvPr id="5" name="Group 4">
              <a:extLst>
                <a:ext uri="{FF2B5EF4-FFF2-40B4-BE49-F238E27FC236}">
                  <a16:creationId xmlns:a16="http://schemas.microsoft.com/office/drawing/2014/main" id="{4E6EA641-A3E0-0EE1-0CC8-E1D43B837215}"/>
                </a:ext>
              </a:extLst>
            </xdr:cNvPr>
            <xdr:cNvGrpSpPr/>
          </xdr:nvGrpSpPr>
          <xdr:grpSpPr>
            <a:xfrm>
              <a:off x="4045186" y="2722259"/>
              <a:ext cx="1205325" cy="670278"/>
              <a:chOff x="3962871" y="2716389"/>
              <a:chExt cx="1205325" cy="670278"/>
            </a:xfrm>
            <a:grpFill/>
          </xdr:grpSpPr>
          <xdr:sp macro="" textlink="Backend!AG4">
            <xdr:nvSpPr>
              <xdr:cNvPr id="2" name="TextBox 1">
                <a:extLst>
                  <a:ext uri="{FF2B5EF4-FFF2-40B4-BE49-F238E27FC236}">
                    <a16:creationId xmlns:a16="http://schemas.microsoft.com/office/drawing/2014/main" id="{57A2EE79-0C47-EE3D-9760-5DEE5AC8392B}"/>
                  </a:ext>
                </a:extLst>
              </xdr:cNvPr>
              <xdr:cNvSpPr txBox="1"/>
            </xdr:nvSpPr>
            <xdr:spPr>
              <a:xfrm>
                <a:off x="3968749" y="2975093"/>
                <a:ext cx="1193565"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3649C9-EA6B-49A4-B6B8-97D85D9E52B2}" type="TxLink">
                  <a:rPr lang="en-US" sz="2200" b="1" i="0" u="none" strike="noStrike">
                    <a:ln>
                      <a:solidFill>
                        <a:schemeClr val="bg2">
                          <a:lumMod val="25000"/>
                        </a:schemeClr>
                      </a:solidFill>
                    </a:ln>
                    <a:solidFill>
                      <a:srgbClr val="25344F"/>
                    </a:solidFill>
                    <a:latin typeface="Aptos Narrow"/>
                  </a:rPr>
                  <a:pPr algn="ctr"/>
                  <a:t>€ 9470</a:t>
                </a:fld>
                <a:endParaRPr lang="en-US" sz="2200" b="1">
                  <a:ln>
                    <a:solidFill>
                      <a:schemeClr val="bg2">
                        <a:lumMod val="25000"/>
                      </a:schemeClr>
                    </a:solidFill>
                  </a:ln>
                  <a:solidFill>
                    <a:srgbClr val="25344F"/>
                  </a:solidFill>
                </a:endParaRPr>
              </a:p>
            </xdr:txBody>
          </xdr:sp>
          <xdr:sp macro="" textlink="">
            <xdr:nvSpPr>
              <xdr:cNvPr id="4" name="TextBox 3">
                <a:extLst>
                  <a:ext uri="{FF2B5EF4-FFF2-40B4-BE49-F238E27FC236}">
                    <a16:creationId xmlns:a16="http://schemas.microsoft.com/office/drawing/2014/main" id="{BEC1B9B0-8E7A-1BF5-E5BF-63144970D81F}"/>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Actual</a:t>
                </a:r>
              </a:p>
            </xdr:txBody>
          </xdr:sp>
        </xdr:grpSp>
        <xdr:grpSp>
          <xdr:nvGrpSpPr>
            <xdr:cNvPr id="6" name="Group 5">
              <a:extLst>
                <a:ext uri="{FF2B5EF4-FFF2-40B4-BE49-F238E27FC236}">
                  <a16:creationId xmlns:a16="http://schemas.microsoft.com/office/drawing/2014/main" id="{C555E045-88DF-4F86-B25B-7AD87CDBF87F}"/>
                </a:ext>
              </a:extLst>
            </xdr:cNvPr>
            <xdr:cNvGrpSpPr/>
          </xdr:nvGrpSpPr>
          <xdr:grpSpPr>
            <a:xfrm>
              <a:off x="5706455" y="2715918"/>
              <a:ext cx="1266317" cy="670278"/>
              <a:chOff x="3901879" y="2716389"/>
              <a:chExt cx="1266317" cy="670278"/>
            </a:xfrm>
            <a:grpFill/>
          </xdr:grpSpPr>
          <xdr:sp macro="" textlink="Backend!AG9">
            <xdr:nvSpPr>
              <xdr:cNvPr id="7" name="TextBox 6">
                <a:extLst>
                  <a:ext uri="{FF2B5EF4-FFF2-40B4-BE49-F238E27FC236}">
                    <a16:creationId xmlns:a16="http://schemas.microsoft.com/office/drawing/2014/main" id="{7E3450C6-6342-D598-37FF-DF32E5A2E723}"/>
                  </a:ext>
                </a:extLst>
              </xdr:cNvPr>
              <xdr:cNvSpPr txBox="1"/>
            </xdr:nvSpPr>
            <xdr:spPr>
              <a:xfrm>
                <a:off x="3901879" y="2975093"/>
                <a:ext cx="1260436"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0A7F6E-4427-4E42-95E3-B1D2CBCCCF92}" type="TxLink">
                  <a:rPr lang="en-US" sz="2200" b="1" i="0" u="none" strike="noStrike">
                    <a:ln>
                      <a:solidFill>
                        <a:schemeClr val="tx1">
                          <a:lumMod val="65000"/>
                          <a:lumOff val="35000"/>
                        </a:schemeClr>
                      </a:solidFill>
                    </a:ln>
                    <a:solidFill>
                      <a:schemeClr val="tx1">
                        <a:lumMod val="75000"/>
                        <a:lumOff val="25000"/>
                      </a:schemeClr>
                    </a:solidFill>
                    <a:latin typeface="Aptos Narrow"/>
                  </a:rPr>
                  <a:pPr algn="ctr"/>
                  <a:t>€ 29890</a:t>
                </a:fld>
                <a:endParaRPr lang="en-US" sz="2200" b="1">
                  <a:ln>
                    <a:solidFill>
                      <a:schemeClr val="tx1">
                        <a:lumMod val="65000"/>
                        <a:lumOff val="35000"/>
                      </a:schemeClr>
                    </a:solidFill>
                  </a:ln>
                  <a:solidFill>
                    <a:schemeClr val="tx1">
                      <a:lumMod val="75000"/>
                      <a:lumOff val="25000"/>
                    </a:schemeClr>
                  </a:solidFill>
                </a:endParaRPr>
              </a:p>
            </xdr:txBody>
          </xdr:sp>
          <xdr:sp macro="" textlink="">
            <xdr:nvSpPr>
              <xdr:cNvPr id="8" name="TextBox 7">
                <a:extLst>
                  <a:ext uri="{FF2B5EF4-FFF2-40B4-BE49-F238E27FC236}">
                    <a16:creationId xmlns:a16="http://schemas.microsoft.com/office/drawing/2014/main" id="{6957C5F5-7A5E-503E-FA8F-A2FC8FFD6056}"/>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Budget</a:t>
                </a:r>
              </a:p>
            </xdr:txBody>
          </xdr:sp>
        </xdr:grpSp>
        <xdr:sp macro="" textlink="Backend!AG15">
          <xdr:nvSpPr>
            <xdr:cNvPr id="9" name="TextBox 8">
              <a:extLst>
                <a:ext uri="{FF2B5EF4-FFF2-40B4-BE49-F238E27FC236}">
                  <a16:creationId xmlns:a16="http://schemas.microsoft.com/office/drawing/2014/main" id="{B1A2AA60-779B-DF50-CF99-A50EB7C66AEA}"/>
                </a:ext>
              </a:extLst>
            </xdr:cNvPr>
            <xdr:cNvSpPr txBox="1"/>
          </xdr:nvSpPr>
          <xdr:spPr>
            <a:xfrm>
              <a:off x="4919834" y="3651247"/>
              <a:ext cx="1186595" cy="7139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DA5CB9-7DFB-48AF-9A0A-F3E51A2D502D}" type="TxLink">
                <a:rPr lang="en-US" sz="2200" b="1" i="0" u="none" strike="noStrike">
                  <a:ln>
                    <a:solidFill>
                      <a:schemeClr val="bg2">
                        <a:lumMod val="25000"/>
                      </a:schemeClr>
                    </a:solidFill>
                  </a:ln>
                  <a:solidFill>
                    <a:srgbClr val="25344F"/>
                  </a:solidFill>
                  <a:latin typeface="Aptos Narrow"/>
                </a:rPr>
                <a:pPr algn="ctr"/>
                <a:t>€ 20420</a:t>
              </a:fld>
              <a:endParaRPr lang="en-GB" sz="2200" b="1">
                <a:ln>
                  <a:solidFill>
                    <a:schemeClr val="bg2">
                      <a:lumMod val="25000"/>
                    </a:schemeClr>
                  </a:solidFill>
                </a:ln>
                <a:solidFill>
                  <a:srgbClr val="25344F"/>
                </a:solidFill>
              </a:endParaRPr>
            </a:p>
          </xdr:txBody>
        </xdr:sp>
        <xdr:sp macro="" textlink="Backend!AG21">
          <xdr:nvSpPr>
            <xdr:cNvPr id="10" name="TextBox 9">
              <a:extLst>
                <a:ext uri="{FF2B5EF4-FFF2-40B4-BE49-F238E27FC236}">
                  <a16:creationId xmlns:a16="http://schemas.microsoft.com/office/drawing/2014/main" id="{8B6EA4F8-1AA1-2244-D1A0-E6B8165B7EEC}"/>
                </a:ext>
              </a:extLst>
            </xdr:cNvPr>
            <xdr:cNvSpPr txBox="1"/>
          </xdr:nvSpPr>
          <xdr:spPr>
            <a:xfrm>
              <a:off x="4462638" y="4429832"/>
              <a:ext cx="2028473" cy="2763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C4B89C-F2F0-4C83-BDF3-0EA1F5919BF4}" type="TxLink">
                <a:rPr lang="en-US" sz="1400" b="1" i="0" u="none" strike="noStrike">
                  <a:ln>
                    <a:solidFill>
                      <a:schemeClr val="tx1">
                        <a:lumMod val="65000"/>
                        <a:lumOff val="35000"/>
                      </a:schemeClr>
                    </a:solidFill>
                  </a:ln>
                  <a:solidFill>
                    <a:schemeClr val="tx1">
                      <a:lumMod val="75000"/>
                      <a:lumOff val="25000"/>
                    </a:schemeClr>
                  </a:solidFill>
                  <a:latin typeface="Aptos Narrow"/>
                </a:rPr>
                <a:pPr algn="ctr"/>
                <a:t>Under budget</a:t>
              </a:fld>
              <a:endParaRPr lang="en-GB" sz="1400" b="1">
                <a:ln>
                  <a:solidFill>
                    <a:schemeClr val="tx1">
                      <a:lumMod val="65000"/>
                      <a:lumOff val="35000"/>
                    </a:schemeClr>
                  </a:solidFill>
                </a:ln>
                <a:solidFill>
                  <a:schemeClr val="tx1">
                    <a:lumMod val="75000"/>
                    <a:lumOff val="25000"/>
                  </a:schemeClr>
                </a:solidFill>
              </a:endParaRPr>
            </a:p>
          </xdr:txBody>
        </xdr:sp>
      </xdr:grpSp>
      <xdr:sp macro="" textlink="">
        <xdr:nvSpPr>
          <xdr:cNvPr id="44" name="TextBox 43">
            <a:extLst>
              <a:ext uri="{FF2B5EF4-FFF2-40B4-BE49-F238E27FC236}">
                <a16:creationId xmlns:a16="http://schemas.microsoft.com/office/drawing/2014/main" id="{82B5B24A-39E3-4FD0-A551-7CCD1BD22A96}"/>
              </a:ext>
            </a:extLst>
          </xdr:cNvPr>
          <xdr:cNvSpPr txBox="1"/>
        </xdr:nvSpPr>
        <xdr:spPr>
          <a:xfrm>
            <a:off x="6215743" y="3089236"/>
            <a:ext cx="1821591" cy="285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1">
                <a:ln>
                  <a:solidFill>
                    <a:schemeClr val="bg2">
                      <a:lumMod val="25000"/>
                    </a:schemeClr>
                  </a:solidFill>
                </a:ln>
              </a:rPr>
              <a:t>Income Overview</a:t>
            </a:r>
          </a:p>
        </xdr:txBody>
      </xdr:sp>
    </xdr:grpSp>
    <xdr:clientData/>
  </xdr:twoCellAnchor>
  <xdr:twoCellAnchor>
    <xdr:from>
      <xdr:col>6</xdr:col>
      <xdr:colOff>206138</xdr:colOff>
      <xdr:row>38</xdr:row>
      <xdr:rowOff>54952</xdr:rowOff>
    </xdr:from>
    <xdr:to>
      <xdr:col>11</xdr:col>
      <xdr:colOff>481176</xdr:colOff>
      <xdr:row>65</xdr:row>
      <xdr:rowOff>183173</xdr:rowOff>
    </xdr:to>
    <xdr:grpSp>
      <xdr:nvGrpSpPr>
        <xdr:cNvPr id="48" name="Group 47">
          <a:extLst>
            <a:ext uri="{FF2B5EF4-FFF2-40B4-BE49-F238E27FC236}">
              <a16:creationId xmlns:a16="http://schemas.microsoft.com/office/drawing/2014/main" id="{A08B5601-0445-02DE-CD66-0CC367343F66}"/>
            </a:ext>
          </a:extLst>
        </xdr:cNvPr>
        <xdr:cNvGrpSpPr/>
      </xdr:nvGrpSpPr>
      <xdr:grpSpPr>
        <a:xfrm>
          <a:off x="4229384" y="9252974"/>
          <a:ext cx="3175188" cy="5004453"/>
          <a:chOff x="6291995" y="6740770"/>
          <a:chExt cx="2729279" cy="2491153"/>
        </a:xfrm>
      </xdr:grpSpPr>
      <xdr:grpSp>
        <xdr:nvGrpSpPr>
          <xdr:cNvPr id="35" name="Group 34">
            <a:extLst>
              <a:ext uri="{FF2B5EF4-FFF2-40B4-BE49-F238E27FC236}">
                <a16:creationId xmlns:a16="http://schemas.microsoft.com/office/drawing/2014/main" id="{185C025F-F647-40F2-A71E-C620BA66E1A0}"/>
              </a:ext>
            </a:extLst>
          </xdr:cNvPr>
          <xdr:cNvGrpSpPr/>
        </xdr:nvGrpSpPr>
        <xdr:grpSpPr>
          <a:xfrm>
            <a:off x="6301154" y="7116274"/>
            <a:ext cx="2720120" cy="2115649"/>
            <a:chOff x="4045186" y="2715918"/>
            <a:chExt cx="2927586" cy="1990256"/>
          </a:xfrm>
          <a:noFill/>
        </xdr:grpSpPr>
        <xdr:grpSp>
          <xdr:nvGrpSpPr>
            <xdr:cNvPr id="36" name="Group 35">
              <a:extLst>
                <a:ext uri="{FF2B5EF4-FFF2-40B4-BE49-F238E27FC236}">
                  <a16:creationId xmlns:a16="http://schemas.microsoft.com/office/drawing/2014/main" id="{B3C54B28-9539-3D99-7296-559F035A84FA}"/>
                </a:ext>
              </a:extLst>
            </xdr:cNvPr>
            <xdr:cNvGrpSpPr/>
          </xdr:nvGrpSpPr>
          <xdr:grpSpPr>
            <a:xfrm>
              <a:off x="4045186" y="2722259"/>
              <a:ext cx="1210108" cy="670278"/>
              <a:chOff x="3962871" y="2716389"/>
              <a:chExt cx="1210108" cy="670278"/>
            </a:xfrm>
            <a:grpFill/>
          </xdr:grpSpPr>
          <xdr:sp macro="" textlink="Backend!AH4">
            <xdr:nvSpPr>
              <xdr:cNvPr id="42" name="TextBox 41">
                <a:extLst>
                  <a:ext uri="{FF2B5EF4-FFF2-40B4-BE49-F238E27FC236}">
                    <a16:creationId xmlns:a16="http://schemas.microsoft.com/office/drawing/2014/main" id="{073E5199-72DA-7DB5-1C27-CF1A61DD205C}"/>
                  </a:ext>
                </a:extLst>
              </xdr:cNvPr>
              <xdr:cNvSpPr txBox="1"/>
            </xdr:nvSpPr>
            <xdr:spPr>
              <a:xfrm>
                <a:off x="3968749" y="2975093"/>
                <a:ext cx="1204230"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6BBE78-FDF5-4FD0-BCDD-F529632B3AAB}" type="TxLink">
                  <a:rPr lang="en-US" sz="2200" b="1" i="0" u="none" strike="noStrike">
                    <a:ln>
                      <a:solidFill>
                        <a:schemeClr val="tx1">
                          <a:lumMod val="65000"/>
                          <a:lumOff val="35000"/>
                        </a:schemeClr>
                      </a:solidFill>
                    </a:ln>
                    <a:solidFill>
                      <a:srgbClr val="632024"/>
                    </a:solidFill>
                    <a:latin typeface="Aptos Narrow"/>
                    <a:ea typeface="+mn-ea"/>
                    <a:cs typeface="+mn-cs"/>
                  </a:rPr>
                  <a:pPr marL="0" indent="0" algn="ctr"/>
                  <a:t>€ 9365</a:t>
                </a:fld>
                <a:endParaRPr lang="en-US" sz="2200" b="1" i="0" u="none" strike="noStrike">
                  <a:ln>
                    <a:solidFill>
                      <a:schemeClr val="tx1">
                        <a:lumMod val="65000"/>
                        <a:lumOff val="35000"/>
                      </a:schemeClr>
                    </a:solidFill>
                  </a:ln>
                  <a:solidFill>
                    <a:srgbClr val="632024"/>
                  </a:solidFill>
                  <a:latin typeface="Aptos Narrow"/>
                  <a:ea typeface="+mn-ea"/>
                  <a:cs typeface="+mn-cs"/>
                </a:endParaRPr>
              </a:p>
            </xdr:txBody>
          </xdr:sp>
          <xdr:sp macro="" textlink="">
            <xdr:nvSpPr>
              <xdr:cNvPr id="43" name="TextBox 42">
                <a:extLst>
                  <a:ext uri="{FF2B5EF4-FFF2-40B4-BE49-F238E27FC236}">
                    <a16:creationId xmlns:a16="http://schemas.microsoft.com/office/drawing/2014/main" id="{88955FF9-F7FC-5888-79A0-083E57EB43FC}"/>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i="0" u="none" strike="noStrike">
                    <a:ln>
                      <a:solidFill>
                        <a:schemeClr val="tx1">
                          <a:lumMod val="65000"/>
                          <a:lumOff val="35000"/>
                        </a:schemeClr>
                      </a:solidFill>
                    </a:ln>
                    <a:solidFill>
                      <a:schemeClr val="tx1">
                        <a:lumMod val="75000"/>
                        <a:lumOff val="25000"/>
                      </a:schemeClr>
                    </a:solidFill>
                    <a:latin typeface="Aptos Narrow"/>
                    <a:ea typeface="+mn-ea"/>
                    <a:cs typeface="+mn-cs"/>
                  </a:rPr>
                  <a:t>Actual</a:t>
                </a:r>
              </a:p>
            </xdr:txBody>
          </xdr:sp>
        </xdr:grpSp>
        <xdr:grpSp>
          <xdr:nvGrpSpPr>
            <xdr:cNvPr id="37" name="Group 36">
              <a:extLst>
                <a:ext uri="{FF2B5EF4-FFF2-40B4-BE49-F238E27FC236}">
                  <a16:creationId xmlns:a16="http://schemas.microsoft.com/office/drawing/2014/main" id="{DBB1F79B-C30C-E16D-3CB1-6144BB3210C1}"/>
                </a:ext>
              </a:extLst>
            </xdr:cNvPr>
            <xdr:cNvGrpSpPr/>
          </xdr:nvGrpSpPr>
          <xdr:grpSpPr>
            <a:xfrm>
              <a:off x="5648937" y="2715918"/>
              <a:ext cx="1323835" cy="670278"/>
              <a:chOff x="3844361" y="2716389"/>
              <a:chExt cx="1323835" cy="670278"/>
            </a:xfrm>
            <a:grpFill/>
          </xdr:grpSpPr>
          <xdr:sp macro="" textlink="Backend!AH9">
            <xdr:nvSpPr>
              <xdr:cNvPr id="40" name="TextBox 39">
                <a:extLst>
                  <a:ext uri="{FF2B5EF4-FFF2-40B4-BE49-F238E27FC236}">
                    <a16:creationId xmlns:a16="http://schemas.microsoft.com/office/drawing/2014/main" id="{FCFA1143-B35F-F919-991F-1AB655D2B95E}"/>
                  </a:ext>
                </a:extLst>
              </xdr:cNvPr>
              <xdr:cNvSpPr txBox="1"/>
            </xdr:nvSpPr>
            <xdr:spPr>
              <a:xfrm>
                <a:off x="3844361" y="2975093"/>
                <a:ext cx="1317953"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16E738D-1C2B-45D0-B21D-A454BCDDC68B}" type="TxLink">
                  <a:rPr lang="en-US" sz="2200" b="1" i="0" u="none" strike="noStrike">
                    <a:ln>
                      <a:solidFill>
                        <a:schemeClr val="tx1">
                          <a:lumMod val="65000"/>
                          <a:lumOff val="35000"/>
                        </a:schemeClr>
                      </a:solidFill>
                    </a:ln>
                    <a:solidFill>
                      <a:schemeClr val="tx1">
                        <a:lumMod val="75000"/>
                        <a:lumOff val="25000"/>
                      </a:schemeClr>
                    </a:solidFill>
                    <a:latin typeface="Aptos Narrow"/>
                    <a:ea typeface="+mn-ea"/>
                    <a:cs typeface="+mn-cs"/>
                  </a:rPr>
                  <a:pPr marL="0" indent="0" algn="ctr"/>
                  <a:t>€ 10572</a:t>
                </a:fld>
                <a:endParaRPr lang="en-US" sz="2200" b="1" i="0" u="none" strike="noStrike">
                  <a:ln>
                    <a:solidFill>
                      <a:schemeClr val="tx1">
                        <a:lumMod val="65000"/>
                        <a:lumOff val="35000"/>
                      </a:schemeClr>
                    </a:solidFill>
                  </a:ln>
                  <a:solidFill>
                    <a:schemeClr val="tx1">
                      <a:lumMod val="75000"/>
                      <a:lumOff val="25000"/>
                    </a:schemeClr>
                  </a:solidFill>
                  <a:latin typeface="Aptos Narrow"/>
                  <a:ea typeface="+mn-ea"/>
                  <a:cs typeface="+mn-cs"/>
                </a:endParaRPr>
              </a:p>
            </xdr:txBody>
          </xdr:sp>
          <xdr:sp macro="" textlink="">
            <xdr:nvSpPr>
              <xdr:cNvPr id="41" name="TextBox 40">
                <a:extLst>
                  <a:ext uri="{FF2B5EF4-FFF2-40B4-BE49-F238E27FC236}">
                    <a16:creationId xmlns:a16="http://schemas.microsoft.com/office/drawing/2014/main" id="{8D0AC04C-D7E4-BAEA-3AE3-503A7F01D9B8}"/>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i="0" u="none" strike="noStrike">
                    <a:ln>
                      <a:solidFill>
                        <a:schemeClr val="tx1">
                          <a:lumMod val="65000"/>
                          <a:lumOff val="35000"/>
                        </a:schemeClr>
                      </a:solidFill>
                    </a:ln>
                    <a:solidFill>
                      <a:schemeClr val="tx1">
                        <a:lumMod val="75000"/>
                        <a:lumOff val="25000"/>
                      </a:schemeClr>
                    </a:solidFill>
                    <a:latin typeface="Aptos Narrow"/>
                    <a:ea typeface="+mn-ea"/>
                    <a:cs typeface="+mn-cs"/>
                  </a:rPr>
                  <a:t>Budget</a:t>
                </a:r>
              </a:p>
            </xdr:txBody>
          </xdr:sp>
        </xdr:grpSp>
        <xdr:sp macro="" textlink="Backend!AH15">
          <xdr:nvSpPr>
            <xdr:cNvPr id="38" name="TextBox 37">
              <a:extLst>
                <a:ext uri="{FF2B5EF4-FFF2-40B4-BE49-F238E27FC236}">
                  <a16:creationId xmlns:a16="http://schemas.microsoft.com/office/drawing/2014/main" id="{E8A68875-48C0-01EE-C711-1348BED97803}"/>
                </a:ext>
              </a:extLst>
            </xdr:cNvPr>
            <xdr:cNvSpPr txBox="1"/>
          </xdr:nvSpPr>
          <xdr:spPr>
            <a:xfrm>
              <a:off x="4944525" y="3651247"/>
              <a:ext cx="1160209" cy="7139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809767-4E53-4DD0-B2C3-DBB8ED55FB41}" type="TxLink">
                <a:rPr lang="en-US" sz="2200" b="1" i="0" u="none" strike="noStrike">
                  <a:ln>
                    <a:solidFill>
                      <a:schemeClr val="tx1">
                        <a:lumMod val="65000"/>
                        <a:lumOff val="35000"/>
                      </a:schemeClr>
                    </a:solidFill>
                  </a:ln>
                  <a:solidFill>
                    <a:srgbClr val="632024"/>
                  </a:solidFill>
                  <a:latin typeface="Aptos Narrow"/>
                  <a:ea typeface="+mn-ea"/>
                  <a:cs typeface="+mn-cs"/>
                </a:rPr>
                <a:pPr marL="0" indent="0" algn="ctr"/>
                <a:t>€ 1207</a:t>
              </a:fld>
              <a:endParaRPr lang="en-GB" sz="2200" b="1" i="0" u="none" strike="noStrike">
                <a:ln>
                  <a:solidFill>
                    <a:schemeClr val="tx1">
                      <a:lumMod val="65000"/>
                      <a:lumOff val="35000"/>
                    </a:schemeClr>
                  </a:solidFill>
                </a:ln>
                <a:solidFill>
                  <a:srgbClr val="632024"/>
                </a:solidFill>
                <a:latin typeface="Aptos Narrow"/>
                <a:ea typeface="+mn-ea"/>
                <a:cs typeface="+mn-cs"/>
              </a:endParaRPr>
            </a:p>
          </xdr:txBody>
        </xdr:sp>
        <xdr:sp macro="" textlink="Backend!AH21">
          <xdr:nvSpPr>
            <xdr:cNvPr id="39" name="TextBox 38">
              <a:extLst>
                <a:ext uri="{FF2B5EF4-FFF2-40B4-BE49-F238E27FC236}">
                  <a16:creationId xmlns:a16="http://schemas.microsoft.com/office/drawing/2014/main" id="{73DF7020-08C7-C929-3FA9-F312A09A2383}"/>
                </a:ext>
              </a:extLst>
            </xdr:cNvPr>
            <xdr:cNvSpPr txBox="1"/>
          </xdr:nvSpPr>
          <xdr:spPr>
            <a:xfrm>
              <a:off x="4462638" y="4429832"/>
              <a:ext cx="2028473" cy="2763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62CA2B9-8DE6-45B0-8C2E-C2AD0CB38A2E}" type="TxLink">
                <a:rPr lang="en-US" sz="1400" b="1" i="0" u="none" strike="noStrike">
                  <a:ln>
                    <a:solidFill>
                      <a:schemeClr val="tx1">
                        <a:lumMod val="65000"/>
                        <a:lumOff val="35000"/>
                      </a:schemeClr>
                    </a:solidFill>
                  </a:ln>
                  <a:solidFill>
                    <a:schemeClr val="tx1">
                      <a:lumMod val="75000"/>
                      <a:lumOff val="25000"/>
                    </a:schemeClr>
                  </a:solidFill>
                  <a:latin typeface="Aptos Narrow"/>
                  <a:ea typeface="+mn-ea"/>
                  <a:cs typeface="+mn-cs"/>
                </a:rPr>
                <a:pPr marL="0" indent="0" algn="ctr"/>
                <a:t>Under budget</a:t>
              </a:fld>
              <a:endParaRPr lang="en-GB" sz="1400" b="1" i="0" u="none" strike="noStrike">
                <a:ln>
                  <a:solidFill>
                    <a:schemeClr val="tx1">
                      <a:lumMod val="65000"/>
                      <a:lumOff val="35000"/>
                    </a:schemeClr>
                  </a:solidFill>
                </a:ln>
                <a:solidFill>
                  <a:schemeClr val="tx1">
                    <a:lumMod val="75000"/>
                    <a:lumOff val="25000"/>
                  </a:schemeClr>
                </a:solidFill>
                <a:latin typeface="Aptos Narrow"/>
                <a:ea typeface="+mn-ea"/>
                <a:cs typeface="+mn-cs"/>
              </a:endParaRPr>
            </a:p>
          </xdr:txBody>
        </xdr:sp>
      </xdr:grpSp>
      <xdr:sp macro="" textlink="">
        <xdr:nvSpPr>
          <xdr:cNvPr id="47" name="TextBox 46">
            <a:extLst>
              <a:ext uri="{FF2B5EF4-FFF2-40B4-BE49-F238E27FC236}">
                <a16:creationId xmlns:a16="http://schemas.microsoft.com/office/drawing/2014/main" id="{D8F3B155-E17C-2C72-1B1B-A65F90BB8D88}"/>
              </a:ext>
            </a:extLst>
          </xdr:cNvPr>
          <xdr:cNvSpPr txBox="1"/>
        </xdr:nvSpPr>
        <xdr:spPr>
          <a:xfrm>
            <a:off x="6291995" y="6740770"/>
            <a:ext cx="1575288" cy="27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i="0" u="none" strike="noStrike">
                <a:ln>
                  <a:solidFill>
                    <a:schemeClr val="tx1">
                      <a:lumMod val="65000"/>
                      <a:lumOff val="35000"/>
                    </a:schemeClr>
                  </a:solidFill>
                </a:ln>
                <a:solidFill>
                  <a:schemeClr val="tx1">
                    <a:lumMod val="75000"/>
                    <a:lumOff val="25000"/>
                  </a:schemeClr>
                </a:solidFill>
                <a:latin typeface="Aptos Narrow"/>
                <a:ea typeface="+mn-ea"/>
                <a:cs typeface="+mn-cs"/>
              </a:rPr>
              <a:t>Expense Overview</a:t>
            </a:r>
          </a:p>
        </xdr:txBody>
      </xdr:sp>
    </xdr:grpSp>
    <xdr:clientData/>
  </xdr:twoCellAnchor>
  <xdr:twoCellAnchor>
    <xdr:from>
      <xdr:col>12</xdr:col>
      <xdr:colOff>132290</xdr:colOff>
      <xdr:row>38</xdr:row>
      <xdr:rowOff>45793</xdr:rowOff>
    </xdr:from>
    <xdr:to>
      <xdr:col>17</xdr:col>
      <xdr:colOff>238125</xdr:colOff>
      <xdr:row>66</xdr:row>
      <xdr:rowOff>0</xdr:rowOff>
    </xdr:to>
    <xdr:graphicFrame macro="">
      <xdr:nvGraphicFramePr>
        <xdr:cNvPr id="50" name="Chart 49">
          <a:extLst>
            <a:ext uri="{FF2B5EF4-FFF2-40B4-BE49-F238E27FC236}">
              <a16:creationId xmlns:a16="http://schemas.microsoft.com/office/drawing/2014/main" id="{5EE6ACA7-FF26-E332-EF0E-81F7D5673E0D}"/>
            </a:ext>
            <a:ext uri="{147F2762-F138-4A5C-976F-8EAC2B608ADB}">
              <a16:predDERef xmlns:a16="http://schemas.microsoft.com/office/drawing/2014/main" pred="{A08B5601-0445-02DE-CD66-0CC367343F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495694</xdr:colOff>
      <xdr:row>67</xdr:row>
      <xdr:rowOff>68036</xdr:rowOff>
    </xdr:from>
    <xdr:to>
      <xdr:col>9</xdr:col>
      <xdr:colOff>256443</xdr:colOff>
      <xdr:row>70</xdr:row>
      <xdr:rowOff>106912</xdr:rowOff>
    </xdr:to>
    <xdr:sp macro="" textlink="">
      <xdr:nvSpPr>
        <xdr:cNvPr id="52" name="TextBox 51">
          <a:extLst>
            <a:ext uri="{FF2B5EF4-FFF2-40B4-BE49-F238E27FC236}">
              <a16:creationId xmlns:a16="http://schemas.microsoft.com/office/drawing/2014/main" id="{C48FF06C-AF0F-4ED8-9BB0-F2809C2E591B}"/>
            </a:ext>
          </a:extLst>
        </xdr:cNvPr>
        <xdr:cNvSpPr txBox="1"/>
      </xdr:nvSpPr>
      <xdr:spPr>
        <a:xfrm>
          <a:off x="495694" y="11659228"/>
          <a:ext cx="4684441" cy="588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a:solidFill>
                <a:srgbClr val="6F4D38"/>
              </a:solidFill>
              <a:latin typeface="Aharoni" panose="02010803020104030203" pitchFamily="2" charset="-79"/>
              <a:cs typeface="Aharoni" panose="02010803020104030203" pitchFamily="2" charset="-79"/>
            </a:rPr>
            <a:t>DEBT REPAYMENT</a:t>
          </a:r>
        </a:p>
      </xdr:txBody>
    </xdr:sp>
    <xdr:clientData/>
  </xdr:twoCellAnchor>
  <xdr:twoCellAnchor>
    <xdr:from>
      <xdr:col>7</xdr:col>
      <xdr:colOff>62638</xdr:colOff>
      <xdr:row>71</xdr:row>
      <xdr:rowOff>82428</xdr:rowOff>
    </xdr:from>
    <xdr:to>
      <xdr:col>11</xdr:col>
      <xdr:colOff>735322</xdr:colOff>
      <xdr:row>88</xdr:row>
      <xdr:rowOff>219807</xdr:rowOff>
    </xdr:to>
    <xdr:grpSp>
      <xdr:nvGrpSpPr>
        <xdr:cNvPr id="55" name="Group 54">
          <a:extLst>
            <a:ext uri="{FF2B5EF4-FFF2-40B4-BE49-F238E27FC236}">
              <a16:creationId xmlns:a16="http://schemas.microsoft.com/office/drawing/2014/main" id="{F43A700E-15C6-4DE9-9AC8-5A2A2CD395D4}"/>
            </a:ext>
          </a:extLst>
        </xdr:cNvPr>
        <xdr:cNvGrpSpPr/>
      </xdr:nvGrpSpPr>
      <xdr:grpSpPr>
        <a:xfrm>
          <a:off x="4327563" y="15692055"/>
          <a:ext cx="3331155" cy="4174842"/>
          <a:chOff x="6291995" y="6740770"/>
          <a:chExt cx="2729279" cy="2491153"/>
        </a:xfrm>
      </xdr:grpSpPr>
      <xdr:grpSp>
        <xdr:nvGrpSpPr>
          <xdr:cNvPr id="56" name="Group 55">
            <a:extLst>
              <a:ext uri="{FF2B5EF4-FFF2-40B4-BE49-F238E27FC236}">
                <a16:creationId xmlns:a16="http://schemas.microsoft.com/office/drawing/2014/main" id="{8C1B5FA3-C6FE-E12A-DF6E-05D895961C6B}"/>
              </a:ext>
            </a:extLst>
          </xdr:cNvPr>
          <xdr:cNvGrpSpPr/>
        </xdr:nvGrpSpPr>
        <xdr:grpSpPr>
          <a:xfrm>
            <a:off x="6301154" y="7116274"/>
            <a:ext cx="2720120" cy="2115649"/>
            <a:chOff x="4045186" y="2715918"/>
            <a:chExt cx="2927586" cy="1990256"/>
          </a:xfrm>
          <a:noFill/>
        </xdr:grpSpPr>
        <xdr:grpSp>
          <xdr:nvGrpSpPr>
            <xdr:cNvPr id="58" name="Group 57">
              <a:extLst>
                <a:ext uri="{FF2B5EF4-FFF2-40B4-BE49-F238E27FC236}">
                  <a16:creationId xmlns:a16="http://schemas.microsoft.com/office/drawing/2014/main" id="{FB84A940-CC74-42D4-B632-3628B5D168D1}"/>
                </a:ext>
              </a:extLst>
            </xdr:cNvPr>
            <xdr:cNvGrpSpPr/>
          </xdr:nvGrpSpPr>
          <xdr:grpSpPr>
            <a:xfrm>
              <a:off x="4045186" y="2722259"/>
              <a:ext cx="1205325" cy="670278"/>
              <a:chOff x="3962871" y="2716389"/>
              <a:chExt cx="1205325" cy="670278"/>
            </a:xfrm>
            <a:grpFill/>
          </xdr:grpSpPr>
          <xdr:sp macro="" textlink="Backend!AI4">
            <xdr:nvSpPr>
              <xdr:cNvPr id="64" name="TextBox 63">
                <a:extLst>
                  <a:ext uri="{FF2B5EF4-FFF2-40B4-BE49-F238E27FC236}">
                    <a16:creationId xmlns:a16="http://schemas.microsoft.com/office/drawing/2014/main" id="{221E2A23-B408-4E3E-79FA-810A18AEB09D}"/>
                  </a:ext>
                </a:extLst>
              </xdr:cNvPr>
              <xdr:cNvSpPr txBox="1"/>
            </xdr:nvSpPr>
            <xdr:spPr>
              <a:xfrm>
                <a:off x="3968749" y="2975093"/>
                <a:ext cx="1193565"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AD163F-1AB7-43E3-B9ED-076023742541}" type="TxLink">
                  <a:rPr lang="en-US" sz="2200" b="1" i="0" u="none" strike="noStrike">
                    <a:ln>
                      <a:solidFill>
                        <a:schemeClr val="bg2">
                          <a:lumMod val="25000"/>
                        </a:schemeClr>
                      </a:solidFill>
                    </a:ln>
                    <a:solidFill>
                      <a:srgbClr val="74503A"/>
                    </a:solidFill>
                    <a:latin typeface="Aptos Narrow"/>
                  </a:rPr>
                  <a:pPr algn="ctr"/>
                  <a:t>€ 2240</a:t>
                </a:fld>
                <a:endParaRPr lang="en-US" sz="2200" b="1">
                  <a:ln>
                    <a:solidFill>
                      <a:schemeClr val="bg2">
                        <a:lumMod val="25000"/>
                      </a:schemeClr>
                    </a:solidFill>
                  </a:ln>
                  <a:solidFill>
                    <a:srgbClr val="74503A"/>
                  </a:solidFill>
                </a:endParaRPr>
              </a:p>
            </xdr:txBody>
          </xdr:sp>
          <xdr:sp macro="" textlink="">
            <xdr:nvSpPr>
              <xdr:cNvPr id="65" name="TextBox 64">
                <a:extLst>
                  <a:ext uri="{FF2B5EF4-FFF2-40B4-BE49-F238E27FC236}">
                    <a16:creationId xmlns:a16="http://schemas.microsoft.com/office/drawing/2014/main" id="{003A0D33-7267-F159-B010-C995BF54C08C}"/>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solidFill>
                        <a:schemeClr val="tx1">
                          <a:lumMod val="65000"/>
                          <a:lumOff val="35000"/>
                        </a:schemeClr>
                      </a:solidFill>
                    </a:ln>
                  </a:rPr>
                  <a:t>Actual</a:t>
                </a:r>
              </a:p>
            </xdr:txBody>
          </xdr:sp>
        </xdr:grpSp>
        <xdr:grpSp>
          <xdr:nvGrpSpPr>
            <xdr:cNvPr id="59" name="Group 58">
              <a:extLst>
                <a:ext uri="{FF2B5EF4-FFF2-40B4-BE49-F238E27FC236}">
                  <a16:creationId xmlns:a16="http://schemas.microsoft.com/office/drawing/2014/main" id="{BAC78513-43BC-EE96-9D0C-EC3522CBA424}"/>
                </a:ext>
              </a:extLst>
            </xdr:cNvPr>
            <xdr:cNvGrpSpPr/>
          </xdr:nvGrpSpPr>
          <xdr:grpSpPr>
            <a:xfrm>
              <a:off x="5767447" y="2715918"/>
              <a:ext cx="1205325" cy="670278"/>
              <a:chOff x="3962871" y="2716389"/>
              <a:chExt cx="1205325" cy="670278"/>
            </a:xfrm>
            <a:grpFill/>
          </xdr:grpSpPr>
          <xdr:sp macro="" textlink="Backend!AI9">
            <xdr:nvSpPr>
              <xdr:cNvPr id="62" name="TextBox 61">
                <a:extLst>
                  <a:ext uri="{FF2B5EF4-FFF2-40B4-BE49-F238E27FC236}">
                    <a16:creationId xmlns:a16="http://schemas.microsoft.com/office/drawing/2014/main" id="{4AE8DCBE-9767-E090-1E9A-6D23268F9BFA}"/>
                  </a:ext>
                </a:extLst>
              </xdr:cNvPr>
              <xdr:cNvSpPr txBox="1"/>
            </xdr:nvSpPr>
            <xdr:spPr>
              <a:xfrm>
                <a:off x="3968749" y="2975093"/>
                <a:ext cx="1193565"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130963-6832-4289-9C4F-511A4933DA4C}" type="TxLink">
                  <a:rPr lang="en-US" sz="2200" b="1" i="0" u="none" strike="noStrike">
                    <a:ln>
                      <a:solidFill>
                        <a:schemeClr val="tx1">
                          <a:lumMod val="65000"/>
                          <a:lumOff val="35000"/>
                        </a:schemeClr>
                      </a:solidFill>
                    </a:ln>
                    <a:solidFill>
                      <a:schemeClr val="tx1">
                        <a:lumMod val="75000"/>
                        <a:lumOff val="25000"/>
                      </a:schemeClr>
                    </a:solidFill>
                    <a:latin typeface="Aptos Narrow"/>
                  </a:rPr>
                  <a:pPr algn="ctr"/>
                  <a:t>€ 1140</a:t>
                </a:fld>
                <a:endParaRPr lang="en-US" sz="2200" b="1">
                  <a:ln>
                    <a:solidFill>
                      <a:schemeClr val="tx1">
                        <a:lumMod val="65000"/>
                        <a:lumOff val="35000"/>
                      </a:schemeClr>
                    </a:solidFill>
                  </a:ln>
                  <a:solidFill>
                    <a:schemeClr val="tx1">
                      <a:lumMod val="75000"/>
                      <a:lumOff val="25000"/>
                    </a:schemeClr>
                  </a:solidFill>
                </a:endParaRPr>
              </a:p>
            </xdr:txBody>
          </xdr:sp>
          <xdr:sp macro="" textlink="">
            <xdr:nvSpPr>
              <xdr:cNvPr id="63" name="TextBox 62">
                <a:extLst>
                  <a:ext uri="{FF2B5EF4-FFF2-40B4-BE49-F238E27FC236}">
                    <a16:creationId xmlns:a16="http://schemas.microsoft.com/office/drawing/2014/main" id="{EA649CA7-6BF8-1F0A-49C7-E15D325424A7}"/>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solidFill>
                        <a:schemeClr val="tx1">
                          <a:lumMod val="65000"/>
                          <a:lumOff val="35000"/>
                        </a:schemeClr>
                      </a:solidFill>
                    </a:ln>
                  </a:rPr>
                  <a:t>Budget</a:t>
                </a:r>
              </a:p>
            </xdr:txBody>
          </xdr:sp>
        </xdr:grpSp>
        <xdr:sp macro="" textlink="Backend!AI15">
          <xdr:nvSpPr>
            <xdr:cNvPr id="60" name="TextBox 59">
              <a:extLst>
                <a:ext uri="{FF2B5EF4-FFF2-40B4-BE49-F238E27FC236}">
                  <a16:creationId xmlns:a16="http://schemas.microsoft.com/office/drawing/2014/main" id="{F8FB1725-6BF7-62D6-74F0-6F7527C4CE13}"/>
                </a:ext>
              </a:extLst>
            </xdr:cNvPr>
            <xdr:cNvSpPr txBox="1"/>
          </xdr:nvSpPr>
          <xdr:spPr>
            <a:xfrm>
              <a:off x="4970450" y="3651247"/>
              <a:ext cx="1115719" cy="7139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ECE3F8-80F2-4BB2-9716-DDB953609715}" type="TxLink">
                <a:rPr lang="en-US" sz="2200" b="1" i="0" u="none" strike="noStrike">
                  <a:ln>
                    <a:solidFill>
                      <a:schemeClr val="bg2">
                        <a:lumMod val="25000"/>
                      </a:schemeClr>
                    </a:solidFill>
                  </a:ln>
                  <a:solidFill>
                    <a:srgbClr val="74503A"/>
                  </a:solidFill>
                  <a:latin typeface="Aptos Narrow"/>
                </a:rPr>
                <a:pPr algn="ctr"/>
                <a:t>€ -1100</a:t>
              </a:fld>
              <a:endParaRPr lang="en-GB" sz="2200" b="1">
                <a:ln>
                  <a:solidFill>
                    <a:schemeClr val="bg2">
                      <a:lumMod val="25000"/>
                    </a:schemeClr>
                  </a:solidFill>
                </a:ln>
                <a:solidFill>
                  <a:srgbClr val="74503A"/>
                </a:solidFill>
              </a:endParaRPr>
            </a:p>
          </xdr:txBody>
        </xdr:sp>
        <xdr:sp macro="" textlink="Backend!AI21">
          <xdr:nvSpPr>
            <xdr:cNvPr id="61" name="TextBox 60">
              <a:extLst>
                <a:ext uri="{FF2B5EF4-FFF2-40B4-BE49-F238E27FC236}">
                  <a16:creationId xmlns:a16="http://schemas.microsoft.com/office/drawing/2014/main" id="{7716712F-2219-35CE-B51E-E9E350B52BAB}"/>
                </a:ext>
              </a:extLst>
            </xdr:cNvPr>
            <xdr:cNvSpPr txBox="1"/>
          </xdr:nvSpPr>
          <xdr:spPr>
            <a:xfrm>
              <a:off x="4462638" y="4429832"/>
              <a:ext cx="2028473" cy="2763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3D1DD-9190-4617-BFFD-539F08F48620}" type="TxLink">
                <a:rPr lang="en-US" sz="1400" b="1" i="0" u="none" strike="noStrike">
                  <a:ln>
                    <a:solidFill>
                      <a:schemeClr val="tx1">
                        <a:lumMod val="65000"/>
                        <a:lumOff val="35000"/>
                      </a:schemeClr>
                    </a:solidFill>
                  </a:ln>
                  <a:solidFill>
                    <a:schemeClr val="bg1">
                      <a:lumMod val="65000"/>
                    </a:schemeClr>
                  </a:solidFill>
                  <a:latin typeface="Aptos Narrow"/>
                </a:rPr>
                <a:pPr algn="ctr"/>
                <a:t>Over budget</a:t>
              </a:fld>
              <a:endParaRPr lang="en-GB" sz="1400" b="1">
                <a:ln>
                  <a:solidFill>
                    <a:schemeClr val="tx1">
                      <a:lumMod val="65000"/>
                      <a:lumOff val="35000"/>
                    </a:schemeClr>
                  </a:solidFill>
                </a:ln>
                <a:solidFill>
                  <a:schemeClr val="bg1">
                    <a:lumMod val="65000"/>
                  </a:schemeClr>
                </a:solidFill>
              </a:endParaRPr>
            </a:p>
          </xdr:txBody>
        </xdr:sp>
      </xdr:grpSp>
      <xdr:sp macro="" textlink="">
        <xdr:nvSpPr>
          <xdr:cNvPr id="57" name="TextBox 56">
            <a:extLst>
              <a:ext uri="{FF2B5EF4-FFF2-40B4-BE49-F238E27FC236}">
                <a16:creationId xmlns:a16="http://schemas.microsoft.com/office/drawing/2014/main" id="{940CB516-F376-D87B-D62B-AFD3B0614AED}"/>
              </a:ext>
            </a:extLst>
          </xdr:cNvPr>
          <xdr:cNvSpPr txBox="1"/>
        </xdr:nvSpPr>
        <xdr:spPr>
          <a:xfrm>
            <a:off x="6291995" y="6740770"/>
            <a:ext cx="1575288" cy="27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ln>
                  <a:solidFill>
                    <a:schemeClr val="bg2">
                      <a:lumMod val="25000"/>
                    </a:schemeClr>
                  </a:solidFill>
                </a:ln>
              </a:rPr>
              <a:t>Debt Payoff Overview</a:t>
            </a:r>
            <a:endParaRPr lang="en-GB" sz="1400" b="1">
              <a:ln>
                <a:solidFill>
                  <a:schemeClr val="bg2">
                    <a:lumMod val="25000"/>
                  </a:schemeClr>
                </a:solidFill>
              </a:ln>
            </a:endParaRPr>
          </a:p>
        </xdr:txBody>
      </xdr:sp>
    </xdr:grpSp>
    <xdr:clientData/>
  </xdr:twoCellAnchor>
  <xdr:twoCellAnchor>
    <xdr:from>
      <xdr:col>18</xdr:col>
      <xdr:colOff>104127</xdr:colOff>
      <xdr:row>71</xdr:row>
      <xdr:rowOff>83428</xdr:rowOff>
    </xdr:from>
    <xdr:to>
      <xdr:col>23</xdr:col>
      <xdr:colOff>335168</xdr:colOff>
      <xdr:row>88</xdr:row>
      <xdr:rowOff>230684</xdr:rowOff>
    </xdr:to>
    <xdr:graphicFrame macro="">
      <xdr:nvGraphicFramePr>
        <xdr:cNvPr id="16" name="Chart 15">
          <a:extLst>
            <a:ext uri="{FF2B5EF4-FFF2-40B4-BE49-F238E27FC236}">
              <a16:creationId xmlns:a16="http://schemas.microsoft.com/office/drawing/2014/main" id="{20EDDCDD-5C96-2C00-E55A-83654F346C89}"/>
            </a:ext>
            <a:ext uri="{147F2762-F138-4A5C-976F-8EAC2B608ADB}">
              <a16:predDERef xmlns:a16="http://schemas.microsoft.com/office/drawing/2014/main" pred="{F43A700E-15C6-4DE9-9AC8-5A2A2CD39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116416</xdr:colOff>
      <xdr:row>92</xdr:row>
      <xdr:rowOff>116419</xdr:rowOff>
    </xdr:from>
    <xdr:to>
      <xdr:col>12</xdr:col>
      <xdr:colOff>98274</xdr:colOff>
      <xdr:row>95</xdr:row>
      <xdr:rowOff>30237</xdr:rowOff>
    </xdr:to>
    <xdr:sp macro="" textlink="">
      <xdr:nvSpPr>
        <xdr:cNvPr id="66" name="TextBox 65">
          <a:extLst>
            <a:ext uri="{FF2B5EF4-FFF2-40B4-BE49-F238E27FC236}">
              <a16:creationId xmlns:a16="http://schemas.microsoft.com/office/drawing/2014/main" id="{FF8580B2-E58A-4635-A9ED-038106E52DB7}"/>
            </a:ext>
          </a:extLst>
        </xdr:cNvPr>
        <xdr:cNvSpPr txBox="1"/>
      </xdr:nvSpPr>
      <xdr:spPr>
        <a:xfrm>
          <a:off x="766535" y="20451538"/>
          <a:ext cx="6997096" cy="662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000">
              <a:solidFill>
                <a:srgbClr val="617891"/>
              </a:solidFill>
              <a:latin typeface="Aharoni" panose="02010803020104030203" pitchFamily="2" charset="-79"/>
              <a:cs typeface="Aharoni" panose="02010803020104030203" pitchFamily="2" charset="-79"/>
            </a:rPr>
            <a:t>SAVINGS</a:t>
          </a:r>
          <a:r>
            <a:rPr lang="en-GB" sz="4000" baseline="0">
              <a:solidFill>
                <a:srgbClr val="617891"/>
              </a:solidFill>
              <a:latin typeface="Aharoni" panose="02010803020104030203" pitchFamily="2" charset="-79"/>
              <a:cs typeface="Aharoni" panose="02010803020104030203" pitchFamily="2" charset="-79"/>
            </a:rPr>
            <a:t> &amp; INVESTMENTS</a:t>
          </a:r>
        </a:p>
        <a:p>
          <a:endParaRPr lang="en-GB" sz="4000">
            <a:solidFill>
              <a:srgbClr val="617891"/>
            </a:solidFill>
            <a:latin typeface="Aharoni" panose="02010803020104030203" pitchFamily="2" charset="-79"/>
            <a:cs typeface="Aharoni" panose="02010803020104030203" pitchFamily="2" charset="-79"/>
          </a:endParaRPr>
        </a:p>
      </xdr:txBody>
    </xdr:sp>
    <xdr:clientData/>
  </xdr:twoCellAnchor>
  <xdr:twoCellAnchor>
    <xdr:from>
      <xdr:col>7</xdr:col>
      <xdr:colOff>199209</xdr:colOff>
      <xdr:row>96</xdr:row>
      <xdr:rowOff>109904</xdr:rowOff>
    </xdr:from>
    <xdr:to>
      <xdr:col>12</xdr:col>
      <xdr:colOff>88160</xdr:colOff>
      <xdr:row>113</xdr:row>
      <xdr:rowOff>146539</xdr:rowOff>
    </xdr:to>
    <xdr:grpSp>
      <xdr:nvGrpSpPr>
        <xdr:cNvPr id="67" name="Group 66">
          <a:extLst>
            <a:ext uri="{FF2B5EF4-FFF2-40B4-BE49-F238E27FC236}">
              <a16:creationId xmlns:a16="http://schemas.microsoft.com/office/drawing/2014/main" id="{5A58E0AA-4AFB-4A86-BB4D-8B3336D12725}"/>
            </a:ext>
          </a:extLst>
        </xdr:cNvPr>
        <xdr:cNvGrpSpPr/>
      </xdr:nvGrpSpPr>
      <xdr:grpSpPr>
        <a:xfrm>
          <a:off x="4464134" y="21804158"/>
          <a:ext cx="3308001" cy="3917717"/>
          <a:chOff x="6291995" y="6740770"/>
          <a:chExt cx="2729279" cy="2491153"/>
        </a:xfrm>
      </xdr:grpSpPr>
      <xdr:grpSp>
        <xdr:nvGrpSpPr>
          <xdr:cNvPr id="68" name="Group 67">
            <a:extLst>
              <a:ext uri="{FF2B5EF4-FFF2-40B4-BE49-F238E27FC236}">
                <a16:creationId xmlns:a16="http://schemas.microsoft.com/office/drawing/2014/main" id="{07B3186D-79FE-52F4-1500-082E2A85F5E5}"/>
              </a:ext>
            </a:extLst>
          </xdr:cNvPr>
          <xdr:cNvGrpSpPr/>
        </xdr:nvGrpSpPr>
        <xdr:grpSpPr>
          <a:xfrm>
            <a:off x="6301154" y="7116274"/>
            <a:ext cx="2720120" cy="2115649"/>
            <a:chOff x="4045186" y="2715918"/>
            <a:chExt cx="2927586" cy="1990256"/>
          </a:xfrm>
          <a:noFill/>
        </xdr:grpSpPr>
        <xdr:grpSp>
          <xdr:nvGrpSpPr>
            <xdr:cNvPr id="70" name="Group 69">
              <a:extLst>
                <a:ext uri="{FF2B5EF4-FFF2-40B4-BE49-F238E27FC236}">
                  <a16:creationId xmlns:a16="http://schemas.microsoft.com/office/drawing/2014/main" id="{31329E85-41C2-C6C6-F4D0-676AE4D783DC}"/>
                </a:ext>
              </a:extLst>
            </xdr:cNvPr>
            <xdr:cNvGrpSpPr/>
          </xdr:nvGrpSpPr>
          <xdr:grpSpPr>
            <a:xfrm>
              <a:off x="4045186" y="2722259"/>
              <a:ext cx="1205325" cy="670278"/>
              <a:chOff x="3962871" y="2716389"/>
              <a:chExt cx="1205325" cy="670278"/>
            </a:xfrm>
            <a:grpFill/>
          </xdr:grpSpPr>
          <xdr:sp macro="" textlink="Backend!AJ4">
            <xdr:nvSpPr>
              <xdr:cNvPr id="76" name="TextBox 75">
                <a:extLst>
                  <a:ext uri="{FF2B5EF4-FFF2-40B4-BE49-F238E27FC236}">
                    <a16:creationId xmlns:a16="http://schemas.microsoft.com/office/drawing/2014/main" id="{1A94EFD0-93CD-76B7-CEC7-F86EC8FAD3E8}"/>
                  </a:ext>
                </a:extLst>
              </xdr:cNvPr>
              <xdr:cNvSpPr txBox="1"/>
            </xdr:nvSpPr>
            <xdr:spPr>
              <a:xfrm>
                <a:off x="3968749" y="2975093"/>
                <a:ext cx="1193565"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E4E153-8B9B-4D11-B8BD-E5F32E56877F}" type="TxLink">
                  <a:rPr lang="en-US" sz="2200" b="1" i="0" u="none" strike="noStrike">
                    <a:ln>
                      <a:solidFill>
                        <a:schemeClr val="bg2">
                          <a:lumMod val="25000"/>
                        </a:schemeClr>
                      </a:solidFill>
                    </a:ln>
                    <a:solidFill>
                      <a:srgbClr val="617891"/>
                    </a:solidFill>
                    <a:latin typeface="Aptos Narrow"/>
                  </a:rPr>
                  <a:pPr algn="ctr"/>
                  <a:t>€ 1837</a:t>
                </a:fld>
                <a:endParaRPr lang="en-US" sz="2200" b="1">
                  <a:ln>
                    <a:solidFill>
                      <a:schemeClr val="bg2">
                        <a:lumMod val="25000"/>
                      </a:schemeClr>
                    </a:solidFill>
                  </a:ln>
                  <a:solidFill>
                    <a:srgbClr val="617891"/>
                  </a:solidFill>
                </a:endParaRPr>
              </a:p>
            </xdr:txBody>
          </xdr:sp>
          <xdr:sp macro="" textlink="">
            <xdr:nvSpPr>
              <xdr:cNvPr id="77" name="TextBox 76">
                <a:extLst>
                  <a:ext uri="{FF2B5EF4-FFF2-40B4-BE49-F238E27FC236}">
                    <a16:creationId xmlns:a16="http://schemas.microsoft.com/office/drawing/2014/main" id="{9AE7A6AC-6B74-CBA1-D814-01AF7507E987}"/>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Actual</a:t>
                </a:r>
              </a:p>
            </xdr:txBody>
          </xdr:sp>
        </xdr:grpSp>
        <xdr:grpSp>
          <xdr:nvGrpSpPr>
            <xdr:cNvPr id="71" name="Group 70">
              <a:extLst>
                <a:ext uri="{FF2B5EF4-FFF2-40B4-BE49-F238E27FC236}">
                  <a16:creationId xmlns:a16="http://schemas.microsoft.com/office/drawing/2014/main" id="{52115FA8-38DE-11EB-A93D-E96C600FFE44}"/>
                </a:ext>
              </a:extLst>
            </xdr:cNvPr>
            <xdr:cNvGrpSpPr/>
          </xdr:nvGrpSpPr>
          <xdr:grpSpPr>
            <a:xfrm>
              <a:off x="5767447" y="2715918"/>
              <a:ext cx="1205325" cy="670278"/>
              <a:chOff x="3962871" y="2716389"/>
              <a:chExt cx="1205325" cy="670278"/>
            </a:xfrm>
            <a:grpFill/>
          </xdr:grpSpPr>
          <xdr:sp macro="" textlink="Backend!AJ9">
            <xdr:nvSpPr>
              <xdr:cNvPr id="74" name="TextBox 73">
                <a:extLst>
                  <a:ext uri="{FF2B5EF4-FFF2-40B4-BE49-F238E27FC236}">
                    <a16:creationId xmlns:a16="http://schemas.microsoft.com/office/drawing/2014/main" id="{BFAE71C8-BF76-77A5-8A9D-6FEE645EDA4B}"/>
                  </a:ext>
                </a:extLst>
              </xdr:cNvPr>
              <xdr:cNvSpPr txBox="1"/>
            </xdr:nvSpPr>
            <xdr:spPr>
              <a:xfrm>
                <a:off x="3968749" y="2975093"/>
                <a:ext cx="1193565" cy="41157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0FE05B-489E-4AFC-9957-D49E6789EE88}" type="TxLink">
                  <a:rPr lang="en-US" sz="2200" b="1" i="0" u="none" strike="noStrike">
                    <a:ln>
                      <a:solidFill>
                        <a:schemeClr val="tx1">
                          <a:lumMod val="65000"/>
                          <a:lumOff val="35000"/>
                        </a:schemeClr>
                      </a:solidFill>
                    </a:ln>
                    <a:solidFill>
                      <a:schemeClr val="tx1">
                        <a:lumMod val="75000"/>
                        <a:lumOff val="25000"/>
                      </a:schemeClr>
                    </a:solidFill>
                    <a:latin typeface="Aptos Narrow"/>
                  </a:rPr>
                  <a:pPr algn="ctr"/>
                  <a:t>€ 8040</a:t>
                </a:fld>
                <a:endParaRPr lang="en-US" sz="2200" b="1">
                  <a:ln>
                    <a:solidFill>
                      <a:schemeClr val="tx1">
                        <a:lumMod val="65000"/>
                        <a:lumOff val="35000"/>
                      </a:schemeClr>
                    </a:solidFill>
                  </a:ln>
                  <a:solidFill>
                    <a:schemeClr val="tx1">
                      <a:lumMod val="75000"/>
                      <a:lumOff val="25000"/>
                    </a:schemeClr>
                  </a:solidFill>
                </a:endParaRPr>
              </a:p>
            </xdr:txBody>
          </xdr:sp>
          <xdr:sp macro="" textlink="">
            <xdr:nvSpPr>
              <xdr:cNvPr id="75" name="TextBox 74">
                <a:extLst>
                  <a:ext uri="{FF2B5EF4-FFF2-40B4-BE49-F238E27FC236}">
                    <a16:creationId xmlns:a16="http://schemas.microsoft.com/office/drawing/2014/main" id="{03AE27A4-C522-8863-FDCA-6E9DB24EDA4F}"/>
                  </a:ext>
                </a:extLst>
              </xdr:cNvPr>
              <xdr:cNvSpPr txBox="1"/>
            </xdr:nvSpPr>
            <xdr:spPr>
              <a:xfrm>
                <a:off x="3962871" y="2716389"/>
                <a:ext cx="1205325" cy="2528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Budget</a:t>
                </a:r>
              </a:p>
            </xdr:txBody>
          </xdr:sp>
        </xdr:grpSp>
        <xdr:sp macro="" textlink="Backend!AJ15">
          <xdr:nvSpPr>
            <xdr:cNvPr id="72" name="TextBox 71">
              <a:extLst>
                <a:ext uri="{FF2B5EF4-FFF2-40B4-BE49-F238E27FC236}">
                  <a16:creationId xmlns:a16="http://schemas.microsoft.com/office/drawing/2014/main" id="{9D86B1AB-EE58-CF53-5F69-79607CC6161A}"/>
                </a:ext>
              </a:extLst>
            </xdr:cNvPr>
            <xdr:cNvSpPr txBox="1"/>
          </xdr:nvSpPr>
          <xdr:spPr>
            <a:xfrm>
              <a:off x="4893595" y="3651247"/>
              <a:ext cx="1180338" cy="7139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ABBAC8-EEED-477A-B733-0109621AD955}" type="TxLink">
                <a:rPr lang="en-US" sz="2200" b="1" i="0" u="none" strike="noStrike">
                  <a:ln>
                    <a:solidFill>
                      <a:schemeClr val="bg2">
                        <a:lumMod val="25000"/>
                      </a:schemeClr>
                    </a:solidFill>
                  </a:ln>
                  <a:solidFill>
                    <a:srgbClr val="617891"/>
                  </a:solidFill>
                  <a:latin typeface="Aptos Narrow"/>
                </a:rPr>
                <a:pPr algn="ctr"/>
                <a:t>€ 6203</a:t>
              </a:fld>
              <a:endParaRPr lang="en-GB" sz="2200" b="1">
                <a:ln>
                  <a:solidFill>
                    <a:schemeClr val="bg2">
                      <a:lumMod val="25000"/>
                    </a:schemeClr>
                  </a:solidFill>
                </a:ln>
                <a:solidFill>
                  <a:srgbClr val="617891"/>
                </a:solidFill>
              </a:endParaRPr>
            </a:p>
          </xdr:txBody>
        </xdr:sp>
        <xdr:sp macro="" textlink="Backend!AH21">
          <xdr:nvSpPr>
            <xdr:cNvPr id="73" name="TextBox 72">
              <a:extLst>
                <a:ext uri="{FF2B5EF4-FFF2-40B4-BE49-F238E27FC236}">
                  <a16:creationId xmlns:a16="http://schemas.microsoft.com/office/drawing/2014/main" id="{3EB780EB-937F-C531-D337-DA35D87E56ED}"/>
                </a:ext>
              </a:extLst>
            </xdr:cNvPr>
            <xdr:cNvSpPr txBox="1"/>
          </xdr:nvSpPr>
          <xdr:spPr>
            <a:xfrm>
              <a:off x="4462638" y="4429832"/>
              <a:ext cx="2028473" cy="2763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2CA2B9-8DE6-45B0-8C2E-C2AD0CB38A2E}" type="TxLink">
                <a:rPr lang="en-US" sz="1400" b="1" i="0" u="none" strike="noStrike">
                  <a:ln>
                    <a:solidFill>
                      <a:schemeClr val="tx1">
                        <a:lumMod val="65000"/>
                        <a:lumOff val="35000"/>
                      </a:schemeClr>
                    </a:solidFill>
                  </a:ln>
                  <a:solidFill>
                    <a:schemeClr val="tx1">
                      <a:lumMod val="75000"/>
                      <a:lumOff val="25000"/>
                    </a:schemeClr>
                  </a:solidFill>
                  <a:latin typeface="Aptos Narrow"/>
                </a:rPr>
                <a:pPr algn="ctr"/>
                <a:t>Under budget</a:t>
              </a:fld>
              <a:endParaRPr lang="en-GB" sz="1400" b="1">
                <a:ln>
                  <a:solidFill>
                    <a:schemeClr val="tx1">
                      <a:lumMod val="65000"/>
                      <a:lumOff val="35000"/>
                    </a:schemeClr>
                  </a:solidFill>
                </a:ln>
                <a:solidFill>
                  <a:schemeClr val="tx1">
                    <a:lumMod val="75000"/>
                    <a:lumOff val="25000"/>
                  </a:schemeClr>
                </a:solidFill>
              </a:endParaRPr>
            </a:p>
          </xdr:txBody>
        </xdr:sp>
      </xdr:grpSp>
      <xdr:sp macro="" textlink="">
        <xdr:nvSpPr>
          <xdr:cNvPr id="69" name="TextBox 68">
            <a:extLst>
              <a:ext uri="{FF2B5EF4-FFF2-40B4-BE49-F238E27FC236}">
                <a16:creationId xmlns:a16="http://schemas.microsoft.com/office/drawing/2014/main" id="{9A68EA7B-98B1-445E-802B-B49F1DB05FAC}"/>
              </a:ext>
            </a:extLst>
          </xdr:cNvPr>
          <xdr:cNvSpPr txBox="1"/>
        </xdr:nvSpPr>
        <xdr:spPr>
          <a:xfrm>
            <a:off x="6291995" y="6740770"/>
            <a:ext cx="2217279" cy="274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ln>
                  <a:solidFill>
                    <a:schemeClr val="bg2">
                      <a:lumMod val="25000"/>
                    </a:schemeClr>
                  </a:solidFill>
                </a:ln>
              </a:rPr>
              <a:t>Savings &amp; Investments Overview</a:t>
            </a:r>
            <a:endParaRPr lang="en-GB" sz="1400" b="1">
              <a:ln>
                <a:solidFill>
                  <a:schemeClr val="bg2">
                    <a:lumMod val="25000"/>
                  </a:schemeClr>
                </a:solidFill>
              </a:ln>
            </a:endParaRPr>
          </a:p>
        </xdr:txBody>
      </xdr:sp>
    </xdr:grpSp>
    <xdr:clientData/>
  </xdr:twoCellAnchor>
  <xdr:twoCellAnchor>
    <xdr:from>
      <xdr:col>23</xdr:col>
      <xdr:colOff>742213</xdr:colOff>
      <xdr:row>95</xdr:row>
      <xdr:rowOff>204108</xdr:rowOff>
    </xdr:from>
    <xdr:to>
      <xdr:col>28</xdr:col>
      <xdr:colOff>40466</xdr:colOff>
      <xdr:row>113</xdr:row>
      <xdr:rowOff>220499</xdr:rowOff>
    </xdr:to>
    <xdr:grpSp>
      <xdr:nvGrpSpPr>
        <xdr:cNvPr id="85" name="Group 84">
          <a:extLst>
            <a:ext uri="{FF2B5EF4-FFF2-40B4-BE49-F238E27FC236}">
              <a16:creationId xmlns:a16="http://schemas.microsoft.com/office/drawing/2014/main" id="{ED3384A4-A321-09A6-DE50-889A768E4FED}"/>
            </a:ext>
          </a:extLst>
        </xdr:cNvPr>
        <xdr:cNvGrpSpPr/>
      </xdr:nvGrpSpPr>
      <xdr:grpSpPr>
        <a:xfrm>
          <a:off x="16792549" y="21642466"/>
          <a:ext cx="2980305" cy="4153369"/>
          <a:chOff x="16297748" y="16712950"/>
          <a:chExt cx="2939700" cy="3011055"/>
        </a:xfrm>
      </xdr:grpSpPr>
      <xdr:graphicFrame macro="">
        <xdr:nvGraphicFramePr>
          <xdr:cNvPr id="79" name="Chart 78">
            <a:extLst>
              <a:ext uri="{FF2B5EF4-FFF2-40B4-BE49-F238E27FC236}">
                <a16:creationId xmlns:a16="http://schemas.microsoft.com/office/drawing/2014/main" id="{9C42A45E-8850-1521-3B9E-F8AAE654F471}"/>
              </a:ext>
            </a:extLst>
          </xdr:cNvPr>
          <xdr:cNvGraphicFramePr/>
        </xdr:nvGraphicFramePr>
        <xdr:xfrm>
          <a:off x="16965065" y="16712950"/>
          <a:ext cx="1527638" cy="81084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0" name="Chart 79">
            <a:extLst>
              <a:ext uri="{FF2B5EF4-FFF2-40B4-BE49-F238E27FC236}">
                <a16:creationId xmlns:a16="http://schemas.microsoft.com/office/drawing/2014/main" id="{50D74E54-612B-CBDA-64DE-764F3B280B06}"/>
              </a:ext>
            </a:extLst>
          </xdr:cNvPr>
          <xdr:cNvGraphicFramePr/>
        </xdr:nvGraphicFramePr>
        <xdr:xfrm>
          <a:off x="16297748" y="17507134"/>
          <a:ext cx="2939700" cy="221687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23</xdr:col>
      <xdr:colOff>526762</xdr:colOff>
      <xdr:row>70</xdr:row>
      <xdr:rowOff>215687</xdr:rowOff>
    </xdr:from>
    <xdr:to>
      <xdr:col>28</xdr:col>
      <xdr:colOff>37577</xdr:colOff>
      <xdr:row>88</xdr:row>
      <xdr:rowOff>220491</xdr:rowOff>
    </xdr:to>
    <xdr:grpSp>
      <xdr:nvGrpSpPr>
        <xdr:cNvPr id="84" name="Group 83">
          <a:extLst>
            <a:ext uri="{FF2B5EF4-FFF2-40B4-BE49-F238E27FC236}">
              <a16:creationId xmlns:a16="http://schemas.microsoft.com/office/drawing/2014/main" id="{2FB789D5-3392-C94F-1858-EBA44DB5189A}"/>
            </a:ext>
          </a:extLst>
        </xdr:cNvPr>
        <xdr:cNvGrpSpPr/>
      </xdr:nvGrpSpPr>
      <xdr:grpSpPr>
        <a:xfrm>
          <a:off x="16577098" y="15569418"/>
          <a:ext cx="3192867" cy="4298163"/>
          <a:chOff x="16289132" y="12041170"/>
          <a:chExt cx="3164645" cy="3193497"/>
        </a:xfrm>
      </xdr:grpSpPr>
      <xdr:graphicFrame macro="">
        <xdr:nvGraphicFramePr>
          <xdr:cNvPr id="46" name="Chart 45">
            <a:extLst>
              <a:ext uri="{FF2B5EF4-FFF2-40B4-BE49-F238E27FC236}">
                <a16:creationId xmlns:a16="http://schemas.microsoft.com/office/drawing/2014/main" id="{8772E64B-8FC8-83EC-3B9B-310B583929FA}"/>
              </a:ext>
            </a:extLst>
          </xdr:cNvPr>
          <xdr:cNvGraphicFramePr/>
        </xdr:nvGraphicFramePr>
        <xdr:xfrm>
          <a:off x="17166003" y="12041170"/>
          <a:ext cx="1678091" cy="85445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1" name="Chart 80">
            <a:extLst>
              <a:ext uri="{FF2B5EF4-FFF2-40B4-BE49-F238E27FC236}">
                <a16:creationId xmlns:a16="http://schemas.microsoft.com/office/drawing/2014/main" id="{41A41D30-DCF4-8D21-14CB-8EBF4787EA42}"/>
              </a:ext>
            </a:extLst>
          </xdr:cNvPr>
          <xdr:cNvGraphicFramePr/>
        </xdr:nvGraphicFramePr>
        <xdr:xfrm>
          <a:off x="16289132" y="12975652"/>
          <a:ext cx="3164645" cy="225901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23</xdr:col>
      <xdr:colOff>417845</xdr:colOff>
      <xdr:row>13</xdr:row>
      <xdr:rowOff>150218</xdr:rowOff>
    </xdr:from>
    <xdr:to>
      <xdr:col>28</xdr:col>
      <xdr:colOff>122670</xdr:colOff>
      <xdr:row>32</xdr:row>
      <xdr:rowOff>735</xdr:rowOff>
    </xdr:to>
    <xdr:grpSp>
      <xdr:nvGrpSpPr>
        <xdr:cNvPr id="83" name="Group 82">
          <a:extLst>
            <a:ext uri="{FF2B5EF4-FFF2-40B4-BE49-F238E27FC236}">
              <a16:creationId xmlns:a16="http://schemas.microsoft.com/office/drawing/2014/main" id="{5F535974-111A-1EC9-0B81-85231D38FA39}"/>
            </a:ext>
          </a:extLst>
        </xdr:cNvPr>
        <xdr:cNvGrpSpPr/>
      </xdr:nvGrpSpPr>
      <xdr:grpSpPr>
        <a:xfrm>
          <a:off x="16468181" y="3476860"/>
          <a:ext cx="3386877" cy="4186524"/>
          <a:chOff x="15578552" y="2444753"/>
          <a:chExt cx="4172259" cy="3565107"/>
        </a:xfrm>
      </xdr:grpSpPr>
      <xdr:graphicFrame macro="">
        <xdr:nvGraphicFramePr>
          <xdr:cNvPr id="15" name="Chart 1">
            <a:extLst>
              <a:ext uri="{FF2B5EF4-FFF2-40B4-BE49-F238E27FC236}">
                <a16:creationId xmlns:a16="http://schemas.microsoft.com/office/drawing/2014/main" id="{1B796DB3-1E15-8965-506D-C97585D5C91A}"/>
              </a:ext>
            </a:extLst>
          </xdr:cNvPr>
          <xdr:cNvGraphicFramePr/>
        </xdr:nvGraphicFramePr>
        <xdr:xfrm>
          <a:off x="15788589" y="2444753"/>
          <a:ext cx="3962222" cy="534234"/>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82" name="Chart 81">
            <a:extLst>
              <a:ext uri="{FF2B5EF4-FFF2-40B4-BE49-F238E27FC236}">
                <a16:creationId xmlns:a16="http://schemas.microsoft.com/office/drawing/2014/main" id="{F246817F-77E5-9224-52CF-B86FC465CEB6}"/>
              </a:ext>
            </a:extLst>
          </xdr:cNvPr>
          <xdr:cNvGraphicFramePr/>
        </xdr:nvGraphicFramePr>
        <xdr:xfrm>
          <a:off x="15578552" y="3019950"/>
          <a:ext cx="4030523" cy="298991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23</xdr:col>
      <xdr:colOff>532422</xdr:colOff>
      <xdr:row>37</xdr:row>
      <xdr:rowOff>204109</xdr:rowOff>
    </xdr:from>
    <xdr:to>
      <xdr:col>28</xdr:col>
      <xdr:colOff>133944</xdr:colOff>
      <xdr:row>66</xdr:row>
      <xdr:rowOff>35416</xdr:rowOff>
    </xdr:to>
    <xdr:grpSp>
      <xdr:nvGrpSpPr>
        <xdr:cNvPr id="87" name="Group 86">
          <a:extLst>
            <a:ext uri="{FF2B5EF4-FFF2-40B4-BE49-F238E27FC236}">
              <a16:creationId xmlns:a16="http://schemas.microsoft.com/office/drawing/2014/main" id="{4BA17C64-BEDB-A772-FA54-74E3310CAD7B}"/>
            </a:ext>
          </a:extLst>
        </xdr:cNvPr>
        <xdr:cNvGrpSpPr/>
      </xdr:nvGrpSpPr>
      <xdr:grpSpPr>
        <a:xfrm>
          <a:off x="16582758" y="9146236"/>
          <a:ext cx="3283574" cy="5219329"/>
          <a:chOff x="15830137" y="6684735"/>
          <a:chExt cx="3481526" cy="3917005"/>
        </a:xfrm>
      </xdr:grpSpPr>
      <xdr:graphicFrame macro="">
        <xdr:nvGraphicFramePr>
          <xdr:cNvPr id="49" name="Chart 2">
            <a:extLst>
              <a:ext uri="{FF2B5EF4-FFF2-40B4-BE49-F238E27FC236}">
                <a16:creationId xmlns:a16="http://schemas.microsoft.com/office/drawing/2014/main" id="{D9F8D721-6E2E-20A6-F180-C683DDCA1690}"/>
              </a:ext>
            </a:extLst>
          </xdr:cNvPr>
          <xdr:cNvGraphicFramePr/>
        </xdr:nvGraphicFramePr>
        <xdr:xfrm>
          <a:off x="15833697" y="6684735"/>
          <a:ext cx="3477966" cy="647519"/>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86" name="Chart 85">
            <a:extLst>
              <a:ext uri="{FF2B5EF4-FFF2-40B4-BE49-F238E27FC236}">
                <a16:creationId xmlns:a16="http://schemas.microsoft.com/office/drawing/2014/main" id="{61613AEA-32A3-5378-96AB-EC84884E50AF}"/>
              </a:ext>
            </a:extLst>
          </xdr:cNvPr>
          <xdr:cNvGraphicFramePr/>
        </xdr:nvGraphicFramePr>
        <xdr:xfrm>
          <a:off x="15830137" y="7415940"/>
          <a:ext cx="3447635" cy="318580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18</xdr:col>
      <xdr:colOff>167902</xdr:colOff>
      <xdr:row>96</xdr:row>
      <xdr:rowOff>17638</xdr:rowOff>
    </xdr:from>
    <xdr:to>
      <xdr:col>23</xdr:col>
      <xdr:colOff>74963</xdr:colOff>
      <xdr:row>113</xdr:row>
      <xdr:rowOff>230683</xdr:rowOff>
    </xdr:to>
    <xdr:graphicFrame macro="">
      <xdr:nvGraphicFramePr>
        <xdr:cNvPr id="89" name="Chart 88">
          <a:extLst>
            <a:ext uri="{FF2B5EF4-FFF2-40B4-BE49-F238E27FC236}">
              <a16:creationId xmlns:a16="http://schemas.microsoft.com/office/drawing/2014/main" id="{E46C58A0-2A43-4FDB-A754-4B4B1A36B6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419367</xdr:colOff>
      <xdr:row>14</xdr:row>
      <xdr:rowOff>1</xdr:rowOff>
    </xdr:from>
    <xdr:to>
      <xdr:col>22</xdr:col>
      <xdr:colOff>620743</xdr:colOff>
      <xdr:row>31</xdr:row>
      <xdr:rowOff>208359</xdr:rowOff>
    </xdr:to>
    <xdr:graphicFrame macro="">
      <xdr:nvGraphicFramePr>
        <xdr:cNvPr id="90" name="Chart 89">
          <a:extLst>
            <a:ext uri="{FF2B5EF4-FFF2-40B4-BE49-F238E27FC236}">
              <a16:creationId xmlns:a16="http://schemas.microsoft.com/office/drawing/2014/main" id="{27369BB3-82CC-4C38-9B1B-6377E1117E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745535</xdr:colOff>
      <xdr:row>13</xdr:row>
      <xdr:rowOff>238126</xdr:rowOff>
    </xdr:from>
    <xdr:to>
      <xdr:col>17</xdr:col>
      <xdr:colOff>86028</xdr:colOff>
      <xdr:row>32</xdr:row>
      <xdr:rowOff>9159</xdr:rowOff>
    </xdr:to>
    <xdr:graphicFrame macro="">
      <xdr:nvGraphicFramePr>
        <xdr:cNvPr id="91" name="Chart 90">
          <a:extLst>
            <a:ext uri="{FF2B5EF4-FFF2-40B4-BE49-F238E27FC236}">
              <a16:creationId xmlns:a16="http://schemas.microsoft.com/office/drawing/2014/main" id="{F57DD3FC-8180-4BF3-82BC-CF8FC0F996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112236</xdr:colOff>
      <xdr:row>37</xdr:row>
      <xdr:rowOff>215800</xdr:rowOff>
    </xdr:from>
    <xdr:to>
      <xdr:col>23</xdr:col>
      <xdr:colOff>244423</xdr:colOff>
      <xdr:row>65</xdr:row>
      <xdr:rowOff>215800</xdr:rowOff>
    </xdr:to>
    <xdr:graphicFrame macro="">
      <xdr:nvGraphicFramePr>
        <xdr:cNvPr id="92" name="Chart 91">
          <a:extLst>
            <a:ext uri="{FF2B5EF4-FFF2-40B4-BE49-F238E27FC236}">
              <a16:creationId xmlns:a16="http://schemas.microsoft.com/office/drawing/2014/main" id="{1A56FF7D-BDB1-4FF1-B51D-A3711FDB6A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217136</xdr:colOff>
      <xdr:row>71</xdr:row>
      <xdr:rowOff>31750</xdr:rowOff>
    </xdr:from>
    <xdr:to>
      <xdr:col>17</xdr:col>
      <xdr:colOff>416720</xdr:colOff>
      <xdr:row>88</xdr:row>
      <xdr:rowOff>229306</xdr:rowOff>
    </xdr:to>
    <xdr:graphicFrame macro="">
      <xdr:nvGraphicFramePr>
        <xdr:cNvPr id="93" name="Chart 92">
          <a:extLst>
            <a:ext uri="{FF2B5EF4-FFF2-40B4-BE49-F238E27FC236}">
              <a16:creationId xmlns:a16="http://schemas.microsoft.com/office/drawing/2014/main" id="{3BDE673C-F5DE-418F-9244-E310D67745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297326</xdr:colOff>
      <xdr:row>96</xdr:row>
      <xdr:rowOff>44097</xdr:rowOff>
    </xdr:from>
    <xdr:to>
      <xdr:col>17</xdr:col>
      <xdr:colOff>543226</xdr:colOff>
      <xdr:row>113</xdr:row>
      <xdr:rowOff>238124</xdr:rowOff>
    </xdr:to>
    <xdr:graphicFrame macro="">
      <xdr:nvGraphicFramePr>
        <xdr:cNvPr id="96" name="Chart 95">
          <a:extLst>
            <a:ext uri="{FF2B5EF4-FFF2-40B4-BE49-F238E27FC236}">
              <a16:creationId xmlns:a16="http://schemas.microsoft.com/office/drawing/2014/main" id="{DCFDC51D-4287-4E31-99C9-B3B2D4A3CD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xdr:col>
      <xdr:colOff>69265</xdr:colOff>
      <xdr:row>4</xdr:row>
      <xdr:rowOff>229157</xdr:rowOff>
    </xdr:from>
    <xdr:to>
      <xdr:col>6</xdr:col>
      <xdr:colOff>165964</xdr:colOff>
      <xdr:row>9</xdr:row>
      <xdr:rowOff>169835</xdr:rowOff>
    </xdr:to>
    <mc:AlternateContent xmlns:mc="http://schemas.openxmlformats.org/markup-compatibility/2006" xmlns:a14="http://schemas.microsoft.com/office/drawing/2010/main">
      <mc:Choice Requires="a14">
        <xdr:graphicFrame macro="">
          <xdr:nvGraphicFramePr>
            <xdr:cNvPr id="100" name="Month">
              <a:extLst>
                <a:ext uri="{FF2B5EF4-FFF2-40B4-BE49-F238E27FC236}">
                  <a16:creationId xmlns:a16="http://schemas.microsoft.com/office/drawing/2014/main" id="{B3F8A113-2FDD-43A6-8838-B2BB4F9D73A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11825" y="1227014"/>
              <a:ext cx="3483366" cy="1188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375370</xdr:colOff>
      <xdr:row>0</xdr:row>
      <xdr:rowOff>132166</xdr:rowOff>
    </xdr:from>
    <xdr:to>
      <xdr:col>11</xdr:col>
      <xdr:colOff>755815</xdr:colOff>
      <xdr:row>7</xdr:row>
      <xdr:rowOff>223545</xdr:rowOff>
    </xdr:to>
    <xdr:grpSp>
      <xdr:nvGrpSpPr>
        <xdr:cNvPr id="12" name="Group 11">
          <a:extLst>
            <a:ext uri="{FF2B5EF4-FFF2-40B4-BE49-F238E27FC236}">
              <a16:creationId xmlns:a16="http://schemas.microsoft.com/office/drawing/2014/main" id="{A2BAFEA2-08FB-79F2-60BF-D3DF8F465DDA}"/>
            </a:ext>
          </a:extLst>
        </xdr:cNvPr>
        <xdr:cNvGrpSpPr/>
      </xdr:nvGrpSpPr>
      <xdr:grpSpPr>
        <a:xfrm>
          <a:off x="4640295" y="132166"/>
          <a:ext cx="3038916" cy="1882648"/>
          <a:chOff x="4633188" y="132166"/>
          <a:chExt cx="3038915" cy="1882648"/>
        </a:xfrm>
      </xdr:grpSpPr>
      <xdr:grpSp>
        <xdr:nvGrpSpPr>
          <xdr:cNvPr id="19" name="Group 18">
            <a:extLst>
              <a:ext uri="{FF2B5EF4-FFF2-40B4-BE49-F238E27FC236}">
                <a16:creationId xmlns:a16="http://schemas.microsoft.com/office/drawing/2014/main" id="{BC0E45AA-0A2E-5CFC-548C-2C0DA985DC24}"/>
              </a:ext>
            </a:extLst>
          </xdr:cNvPr>
          <xdr:cNvGrpSpPr/>
        </xdr:nvGrpSpPr>
        <xdr:grpSpPr>
          <a:xfrm>
            <a:off x="4633188" y="132166"/>
            <a:ext cx="3038915" cy="1882648"/>
            <a:chOff x="3910929" y="123956"/>
            <a:chExt cx="1497444" cy="784758"/>
          </a:xfrm>
        </xdr:grpSpPr>
        <xdr:sp macro="" textlink="Backend!AG4">
          <xdr:nvSpPr>
            <xdr:cNvPr id="17" name="TextBox 16">
              <a:extLst>
                <a:ext uri="{FF2B5EF4-FFF2-40B4-BE49-F238E27FC236}">
                  <a16:creationId xmlns:a16="http://schemas.microsoft.com/office/drawing/2014/main" id="{B70B8EE9-C3A5-2C31-A497-CE0EA003BCDC}"/>
                </a:ext>
              </a:extLst>
            </xdr:cNvPr>
            <xdr:cNvSpPr txBox="1"/>
          </xdr:nvSpPr>
          <xdr:spPr>
            <a:xfrm>
              <a:off x="3920907" y="123956"/>
              <a:ext cx="1487466" cy="433567"/>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A57551-3B69-40DE-A99C-668E56F9F3C1}" type="TxLink">
                <a:rPr lang="en-US" sz="3000" b="1" i="0" u="none" strike="noStrike">
                  <a:ln>
                    <a:solidFill>
                      <a:schemeClr val="bg2">
                        <a:lumMod val="25000"/>
                      </a:schemeClr>
                    </a:solidFill>
                  </a:ln>
                  <a:solidFill>
                    <a:srgbClr val="25344F"/>
                  </a:solidFill>
                  <a:latin typeface="Aptos Narrow"/>
                </a:rPr>
                <a:pPr algn="ctr"/>
                <a:t>€ 9470</a:t>
              </a:fld>
              <a:endParaRPr lang="en-GB" sz="3000" b="1">
                <a:ln>
                  <a:solidFill>
                    <a:schemeClr val="bg2">
                      <a:lumMod val="25000"/>
                    </a:schemeClr>
                  </a:solidFill>
                </a:ln>
                <a:solidFill>
                  <a:srgbClr val="25344F"/>
                </a:solidFill>
              </a:endParaRPr>
            </a:p>
          </xdr:txBody>
        </xdr:sp>
        <xdr:sp macro="" textlink="">
          <xdr:nvSpPr>
            <xdr:cNvPr id="18" name="TextBox 17">
              <a:extLst>
                <a:ext uri="{FF2B5EF4-FFF2-40B4-BE49-F238E27FC236}">
                  <a16:creationId xmlns:a16="http://schemas.microsoft.com/office/drawing/2014/main" id="{9BA35D6B-6B70-329E-B43D-BBD748DE986F}"/>
                </a:ext>
              </a:extLst>
            </xdr:cNvPr>
            <xdr:cNvSpPr txBox="1"/>
          </xdr:nvSpPr>
          <xdr:spPr>
            <a:xfrm>
              <a:off x="3910929" y="763438"/>
              <a:ext cx="1493989" cy="145276"/>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Total - Income</a:t>
              </a:r>
            </a:p>
          </xdr:txBody>
        </xdr:sp>
      </xdr:grpSp>
      <xdr:pic>
        <xdr:nvPicPr>
          <xdr:cNvPr id="13" name="Graphic 12" descr="Money with solid fill">
            <a:extLst>
              <a:ext uri="{FF2B5EF4-FFF2-40B4-BE49-F238E27FC236}">
                <a16:creationId xmlns:a16="http://schemas.microsoft.com/office/drawing/2014/main" id="{B91D6B89-14ED-F4EB-1B3B-057DC286D84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115317" y="163488"/>
            <a:ext cx="540224" cy="454926"/>
          </a:xfrm>
          <a:prstGeom prst="rect">
            <a:avLst/>
          </a:prstGeom>
        </xdr:spPr>
      </xdr:pic>
    </xdr:grpSp>
    <xdr:clientData/>
  </xdr:twoCellAnchor>
  <xdr:twoCellAnchor>
    <xdr:from>
      <xdr:col>22</xdr:col>
      <xdr:colOff>755134</xdr:colOff>
      <xdr:row>0</xdr:row>
      <xdr:rowOff>144725</xdr:rowOff>
    </xdr:from>
    <xdr:to>
      <xdr:col>27</xdr:col>
      <xdr:colOff>49759</xdr:colOff>
      <xdr:row>7</xdr:row>
      <xdr:rowOff>204107</xdr:rowOff>
    </xdr:to>
    <xdr:grpSp>
      <xdr:nvGrpSpPr>
        <xdr:cNvPr id="32" name="Group 31">
          <a:extLst>
            <a:ext uri="{FF2B5EF4-FFF2-40B4-BE49-F238E27FC236}">
              <a16:creationId xmlns:a16="http://schemas.microsoft.com/office/drawing/2014/main" id="{0004E444-5254-3ADB-B125-DF415BC0907D}"/>
            </a:ext>
          </a:extLst>
        </xdr:cNvPr>
        <xdr:cNvGrpSpPr/>
      </xdr:nvGrpSpPr>
      <xdr:grpSpPr>
        <a:xfrm>
          <a:off x="16044892" y="144725"/>
          <a:ext cx="3097516" cy="1850651"/>
          <a:chOff x="16037783" y="144725"/>
          <a:chExt cx="3097518" cy="1850651"/>
        </a:xfrm>
      </xdr:grpSpPr>
      <xdr:grpSp>
        <xdr:nvGrpSpPr>
          <xdr:cNvPr id="26" name="Group 25">
            <a:extLst>
              <a:ext uri="{FF2B5EF4-FFF2-40B4-BE49-F238E27FC236}">
                <a16:creationId xmlns:a16="http://schemas.microsoft.com/office/drawing/2014/main" id="{E1F3446A-CD3A-427C-AD4E-B6A3A1E153C4}"/>
              </a:ext>
            </a:extLst>
          </xdr:cNvPr>
          <xdr:cNvGrpSpPr/>
        </xdr:nvGrpSpPr>
        <xdr:grpSpPr>
          <a:xfrm>
            <a:off x="16037783" y="144725"/>
            <a:ext cx="3097518" cy="1850651"/>
            <a:chOff x="3920907" y="123956"/>
            <a:chExt cx="1504731" cy="771143"/>
          </a:xfrm>
        </xdr:grpSpPr>
        <xdr:sp macro="" textlink="Backend!AJ4">
          <xdr:nvSpPr>
            <xdr:cNvPr id="27" name="TextBox 26">
              <a:extLst>
                <a:ext uri="{FF2B5EF4-FFF2-40B4-BE49-F238E27FC236}">
                  <a16:creationId xmlns:a16="http://schemas.microsoft.com/office/drawing/2014/main" id="{60BB96CC-7695-5C6E-8F70-2A47F418BE6A}"/>
                </a:ext>
              </a:extLst>
            </xdr:cNvPr>
            <xdr:cNvSpPr txBox="1"/>
          </xdr:nvSpPr>
          <xdr:spPr>
            <a:xfrm>
              <a:off x="3920907" y="123956"/>
              <a:ext cx="1487466" cy="404644"/>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D90C50-C6E4-4E6D-8914-03A0D67CA4D0}" type="TxLink">
                <a:rPr lang="en-US" sz="3000" b="1" i="0" u="none" strike="noStrike">
                  <a:ln>
                    <a:solidFill>
                      <a:schemeClr val="bg2">
                        <a:lumMod val="25000"/>
                      </a:schemeClr>
                    </a:solidFill>
                  </a:ln>
                  <a:solidFill>
                    <a:srgbClr val="617891"/>
                  </a:solidFill>
                  <a:latin typeface="Aptos Narrow"/>
                </a:rPr>
                <a:pPr algn="ctr"/>
                <a:t>€ 1837</a:t>
              </a:fld>
              <a:endParaRPr lang="en-GB" sz="3000" b="1">
                <a:ln>
                  <a:solidFill>
                    <a:schemeClr val="bg2">
                      <a:lumMod val="25000"/>
                    </a:schemeClr>
                  </a:solidFill>
                </a:ln>
                <a:solidFill>
                  <a:srgbClr val="617891"/>
                </a:solidFill>
              </a:endParaRPr>
            </a:p>
          </xdr:txBody>
        </xdr:sp>
        <xdr:sp macro="" textlink="">
          <xdr:nvSpPr>
            <xdr:cNvPr id="28" name="TextBox 27">
              <a:extLst>
                <a:ext uri="{FF2B5EF4-FFF2-40B4-BE49-F238E27FC236}">
                  <a16:creationId xmlns:a16="http://schemas.microsoft.com/office/drawing/2014/main" id="{BE87470E-49BC-EBC9-DA69-9108830A0B8C}"/>
                </a:ext>
              </a:extLst>
            </xdr:cNvPr>
            <xdr:cNvSpPr txBox="1"/>
          </xdr:nvSpPr>
          <xdr:spPr>
            <a:xfrm>
              <a:off x="3931649" y="751619"/>
              <a:ext cx="1493989" cy="143480"/>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Total - Savings &amp; Investments</a:t>
              </a:r>
            </a:p>
          </xdr:txBody>
        </xdr:sp>
      </xdr:grpSp>
      <xdr:pic>
        <xdr:nvPicPr>
          <xdr:cNvPr id="29" name="Graphic 28" descr="Piggy Bank with solid fill">
            <a:extLst>
              <a:ext uri="{FF2B5EF4-FFF2-40B4-BE49-F238E27FC236}">
                <a16:creationId xmlns:a16="http://schemas.microsoft.com/office/drawing/2014/main" id="{0F7CDC56-C3BF-11F2-945A-183BD88E990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8566643" y="163490"/>
            <a:ext cx="514533" cy="453600"/>
          </a:xfrm>
          <a:prstGeom prst="rect">
            <a:avLst/>
          </a:prstGeom>
        </xdr:spPr>
      </xdr:pic>
    </xdr:grpSp>
    <xdr:clientData/>
  </xdr:twoCellAnchor>
  <xdr:twoCellAnchor>
    <xdr:from>
      <xdr:col>13</xdr:col>
      <xdr:colOff>857</xdr:colOff>
      <xdr:row>0</xdr:row>
      <xdr:rowOff>142950</xdr:rowOff>
    </xdr:from>
    <xdr:to>
      <xdr:col>17</xdr:col>
      <xdr:colOff>25651</xdr:colOff>
      <xdr:row>7</xdr:row>
      <xdr:rowOff>222250</xdr:rowOff>
    </xdr:to>
    <xdr:grpSp>
      <xdr:nvGrpSpPr>
        <xdr:cNvPr id="14" name="Group 13">
          <a:extLst>
            <a:ext uri="{FF2B5EF4-FFF2-40B4-BE49-F238E27FC236}">
              <a16:creationId xmlns:a16="http://schemas.microsoft.com/office/drawing/2014/main" id="{F56B3826-4ACE-C2DF-1C77-F837668AB1E2}"/>
            </a:ext>
          </a:extLst>
        </xdr:cNvPr>
        <xdr:cNvGrpSpPr/>
      </xdr:nvGrpSpPr>
      <xdr:grpSpPr>
        <a:xfrm>
          <a:off x="8445409" y="142950"/>
          <a:ext cx="3067108" cy="1870569"/>
          <a:chOff x="8438302" y="142950"/>
          <a:chExt cx="3067107" cy="1870569"/>
        </a:xfrm>
      </xdr:grpSpPr>
      <xdr:grpSp>
        <xdr:nvGrpSpPr>
          <xdr:cNvPr id="20" name="Group 19">
            <a:extLst>
              <a:ext uri="{FF2B5EF4-FFF2-40B4-BE49-F238E27FC236}">
                <a16:creationId xmlns:a16="http://schemas.microsoft.com/office/drawing/2014/main" id="{370C73E2-5DF1-4440-974F-C2C2C91AD72B}"/>
              </a:ext>
            </a:extLst>
          </xdr:cNvPr>
          <xdr:cNvGrpSpPr/>
        </xdr:nvGrpSpPr>
        <xdr:grpSpPr>
          <a:xfrm>
            <a:off x="8438302" y="142950"/>
            <a:ext cx="3055672" cy="1870569"/>
            <a:chOff x="3920242" y="123956"/>
            <a:chExt cx="1259094" cy="779675"/>
          </a:xfrm>
        </xdr:grpSpPr>
        <xdr:sp macro="" textlink="Backend!AH4">
          <xdr:nvSpPr>
            <xdr:cNvPr id="21" name="TextBox 20">
              <a:extLst>
                <a:ext uri="{FF2B5EF4-FFF2-40B4-BE49-F238E27FC236}">
                  <a16:creationId xmlns:a16="http://schemas.microsoft.com/office/drawing/2014/main" id="{5DF338C2-8C4B-F33D-F71C-F9E9500148C0}"/>
                </a:ext>
              </a:extLst>
            </xdr:cNvPr>
            <xdr:cNvSpPr txBox="1"/>
          </xdr:nvSpPr>
          <xdr:spPr>
            <a:xfrm>
              <a:off x="3920908" y="123956"/>
              <a:ext cx="1258428" cy="423152"/>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8BD71C-459E-4DED-9887-99DE677B2AC1}" type="TxLink">
                <a:rPr lang="en-US" sz="3000" b="1" i="0" u="none" strike="noStrike">
                  <a:ln>
                    <a:solidFill>
                      <a:schemeClr val="bg2">
                        <a:lumMod val="25000"/>
                      </a:schemeClr>
                    </a:solidFill>
                  </a:ln>
                  <a:solidFill>
                    <a:srgbClr val="632024"/>
                  </a:solidFill>
                  <a:latin typeface="Aptos Narrow"/>
                </a:rPr>
                <a:pPr algn="ctr"/>
                <a:t>€ 9365</a:t>
              </a:fld>
              <a:endParaRPr lang="en-GB" sz="3000" b="1">
                <a:ln>
                  <a:solidFill>
                    <a:schemeClr val="bg2">
                      <a:lumMod val="25000"/>
                    </a:schemeClr>
                  </a:solidFill>
                </a:ln>
                <a:solidFill>
                  <a:srgbClr val="632024"/>
                </a:solidFill>
              </a:endParaRPr>
            </a:p>
          </xdr:txBody>
        </xdr:sp>
        <xdr:sp macro="" textlink="">
          <xdr:nvSpPr>
            <xdr:cNvPr id="22" name="TextBox 21">
              <a:extLst>
                <a:ext uri="{FF2B5EF4-FFF2-40B4-BE49-F238E27FC236}">
                  <a16:creationId xmlns:a16="http://schemas.microsoft.com/office/drawing/2014/main" id="{48E0E592-7A5E-71B2-B9EC-13AEF31EAC04}"/>
                </a:ext>
              </a:extLst>
            </xdr:cNvPr>
            <xdr:cNvSpPr txBox="1"/>
          </xdr:nvSpPr>
          <xdr:spPr>
            <a:xfrm>
              <a:off x="3920242" y="760478"/>
              <a:ext cx="1256165" cy="143153"/>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Total - Expense</a:t>
              </a:r>
            </a:p>
          </xdr:txBody>
        </xdr:sp>
      </xdr:grpSp>
      <xdr:pic>
        <xdr:nvPicPr>
          <xdr:cNvPr id="31" name="Graphic 30" descr="Loan with solid fill">
            <a:extLst>
              <a:ext uri="{FF2B5EF4-FFF2-40B4-BE49-F238E27FC236}">
                <a16:creationId xmlns:a16="http://schemas.microsoft.com/office/drawing/2014/main" id="{D496508E-3660-9B04-68E7-FB62B2B6DB4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5409" y="156381"/>
            <a:ext cx="540000" cy="493715"/>
          </a:xfrm>
          <a:prstGeom prst="rect">
            <a:avLst/>
          </a:prstGeom>
        </xdr:spPr>
      </xdr:pic>
    </xdr:grpSp>
    <xdr:clientData/>
  </xdr:twoCellAnchor>
  <xdr:twoCellAnchor>
    <xdr:from>
      <xdr:col>17</xdr:col>
      <xdr:colOff>743176</xdr:colOff>
      <xdr:row>0</xdr:row>
      <xdr:rowOff>131893</xdr:rowOff>
    </xdr:from>
    <xdr:to>
      <xdr:col>22</xdr:col>
      <xdr:colOff>54081</xdr:colOff>
      <xdr:row>7</xdr:row>
      <xdr:rowOff>184667</xdr:rowOff>
    </xdr:to>
    <xdr:grpSp>
      <xdr:nvGrpSpPr>
        <xdr:cNvPr id="30" name="Group 29">
          <a:extLst>
            <a:ext uri="{FF2B5EF4-FFF2-40B4-BE49-F238E27FC236}">
              <a16:creationId xmlns:a16="http://schemas.microsoft.com/office/drawing/2014/main" id="{B7C2F17D-8D96-B4D0-2B33-BFDBDA985E23}"/>
            </a:ext>
          </a:extLst>
        </xdr:cNvPr>
        <xdr:cNvGrpSpPr/>
      </xdr:nvGrpSpPr>
      <xdr:grpSpPr>
        <a:xfrm>
          <a:off x="12230042" y="131893"/>
          <a:ext cx="3113797" cy="1844043"/>
          <a:chOff x="12222934" y="131893"/>
          <a:chExt cx="3113796" cy="1844043"/>
        </a:xfrm>
      </xdr:grpSpPr>
      <xdr:grpSp>
        <xdr:nvGrpSpPr>
          <xdr:cNvPr id="23" name="Group 22">
            <a:extLst>
              <a:ext uri="{FF2B5EF4-FFF2-40B4-BE49-F238E27FC236}">
                <a16:creationId xmlns:a16="http://schemas.microsoft.com/office/drawing/2014/main" id="{8891640F-43B6-466B-B279-34C1D26452DA}"/>
              </a:ext>
            </a:extLst>
          </xdr:cNvPr>
          <xdr:cNvGrpSpPr/>
        </xdr:nvGrpSpPr>
        <xdr:grpSpPr>
          <a:xfrm>
            <a:off x="12222934" y="131893"/>
            <a:ext cx="3081041" cy="1844043"/>
            <a:chOff x="3917831" y="123956"/>
            <a:chExt cx="1493989" cy="768385"/>
          </a:xfrm>
        </xdr:grpSpPr>
        <xdr:sp macro="" textlink="Backend!AI4">
          <xdr:nvSpPr>
            <xdr:cNvPr id="24" name="TextBox 23">
              <a:extLst>
                <a:ext uri="{FF2B5EF4-FFF2-40B4-BE49-F238E27FC236}">
                  <a16:creationId xmlns:a16="http://schemas.microsoft.com/office/drawing/2014/main" id="{26DAF523-3FEE-B864-4FA8-B697F5EF10BB}"/>
                </a:ext>
              </a:extLst>
            </xdr:cNvPr>
            <xdr:cNvSpPr txBox="1"/>
          </xdr:nvSpPr>
          <xdr:spPr>
            <a:xfrm>
              <a:off x="3920907" y="123956"/>
              <a:ext cx="1487466" cy="404067"/>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7C67C0-79A5-4C1B-B397-C6E627AB7DCA}" type="TxLink">
                <a:rPr lang="en-US" sz="3000" b="1" i="0" u="none" strike="noStrike">
                  <a:ln>
                    <a:solidFill>
                      <a:schemeClr val="bg2">
                        <a:lumMod val="25000"/>
                      </a:schemeClr>
                    </a:solidFill>
                  </a:ln>
                  <a:solidFill>
                    <a:srgbClr val="6F4D38"/>
                  </a:solidFill>
                  <a:latin typeface="Aptos Narrow"/>
                </a:rPr>
                <a:pPr algn="ctr"/>
                <a:t>€ 2240</a:t>
              </a:fld>
              <a:endParaRPr lang="en-US" sz="3000" b="1" i="0" u="none" strike="noStrike">
                <a:ln>
                  <a:solidFill>
                    <a:schemeClr val="bg2">
                      <a:lumMod val="25000"/>
                    </a:schemeClr>
                  </a:solidFill>
                </a:ln>
                <a:solidFill>
                  <a:srgbClr val="6F4D38"/>
                </a:solidFill>
                <a:latin typeface="Aptos Narrow"/>
              </a:endParaRPr>
            </a:p>
          </xdr:txBody>
        </xdr:sp>
        <xdr:sp macro="" textlink="">
          <xdr:nvSpPr>
            <xdr:cNvPr id="25" name="TextBox 24">
              <a:extLst>
                <a:ext uri="{FF2B5EF4-FFF2-40B4-BE49-F238E27FC236}">
                  <a16:creationId xmlns:a16="http://schemas.microsoft.com/office/drawing/2014/main" id="{BD4C5253-83CE-A389-E73F-1F9D1AD555D7}"/>
                </a:ext>
              </a:extLst>
            </xdr:cNvPr>
            <xdr:cNvSpPr txBox="1"/>
          </xdr:nvSpPr>
          <xdr:spPr>
            <a:xfrm>
              <a:off x="3917831" y="761155"/>
              <a:ext cx="1493989" cy="131186"/>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Total - Debt</a:t>
              </a:r>
              <a:r>
                <a:rPr lang="en-GB" sz="1400" b="1" baseline="0"/>
                <a:t> Payoff</a:t>
              </a:r>
            </a:p>
          </xdr:txBody>
        </xdr:sp>
      </xdr:grpSp>
      <xdr:pic>
        <xdr:nvPicPr>
          <xdr:cNvPr id="33" name="Graphic 32" descr="Bank with solid fill">
            <a:extLst>
              <a:ext uri="{FF2B5EF4-FFF2-40B4-BE49-F238E27FC236}">
                <a16:creationId xmlns:a16="http://schemas.microsoft.com/office/drawing/2014/main" id="{7290EA4F-F731-034F-5F30-C9EA55BE254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4796730" y="149271"/>
            <a:ext cx="540000" cy="431570"/>
          </a:xfrm>
          <a:prstGeom prst="rect">
            <a:avLst/>
          </a:prstGeom>
        </xdr:spPr>
      </xdr:pic>
    </xdr:grpSp>
    <xdr:clientData/>
  </xdr:twoCellAnchor>
  <xdr:twoCellAnchor>
    <xdr:from>
      <xdr:col>1</xdr:col>
      <xdr:colOff>69146</xdr:colOff>
      <xdr:row>0</xdr:row>
      <xdr:rowOff>149272</xdr:rowOff>
    </xdr:from>
    <xdr:to>
      <xdr:col>6</xdr:col>
      <xdr:colOff>154571</xdr:colOff>
      <xdr:row>4</xdr:row>
      <xdr:rowOff>139156</xdr:rowOff>
    </xdr:to>
    <xdr:grpSp>
      <xdr:nvGrpSpPr>
        <xdr:cNvPr id="53" name="Group 52">
          <a:extLst>
            <a:ext uri="{FF2B5EF4-FFF2-40B4-BE49-F238E27FC236}">
              <a16:creationId xmlns:a16="http://schemas.microsoft.com/office/drawing/2014/main" id="{659CC507-DFBB-13F3-33BF-5BB7050C542C}"/>
            </a:ext>
          </a:extLst>
        </xdr:cNvPr>
        <xdr:cNvGrpSpPr/>
      </xdr:nvGrpSpPr>
      <xdr:grpSpPr>
        <a:xfrm>
          <a:off x="708885" y="149272"/>
          <a:ext cx="3468932" cy="1013466"/>
          <a:chOff x="718584" y="149272"/>
          <a:chExt cx="3455312" cy="1000111"/>
        </a:xfrm>
      </xdr:grpSpPr>
      <xdr:sp macro="" textlink="Backend!AO38">
        <xdr:nvSpPr>
          <xdr:cNvPr id="101" name="TextBox 100">
            <a:extLst>
              <a:ext uri="{FF2B5EF4-FFF2-40B4-BE49-F238E27FC236}">
                <a16:creationId xmlns:a16="http://schemas.microsoft.com/office/drawing/2014/main" id="{9164036E-FB6A-2303-86A2-21071EB68401}"/>
              </a:ext>
            </a:extLst>
          </xdr:cNvPr>
          <xdr:cNvSpPr txBox="1"/>
        </xdr:nvSpPr>
        <xdr:spPr>
          <a:xfrm>
            <a:off x="720513" y="149272"/>
            <a:ext cx="3450038" cy="615614"/>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D898A2-978D-4821-8CE3-4BA50E42544E}" type="TxLink">
              <a:rPr lang="en-US" sz="2500" b="1" i="0" u="none" strike="noStrike">
                <a:ln>
                  <a:solidFill>
                    <a:schemeClr val="bg2">
                      <a:lumMod val="25000"/>
                    </a:schemeClr>
                  </a:solidFill>
                </a:ln>
                <a:solidFill>
                  <a:srgbClr val="000000"/>
                </a:solidFill>
                <a:latin typeface="Aptos Narrow"/>
              </a:rPr>
              <a:pPr algn="ctr"/>
              <a:t>Annual 2025</a:t>
            </a:fld>
            <a:endParaRPr lang="en-GB" sz="2500" b="1">
              <a:ln>
                <a:solidFill>
                  <a:schemeClr val="bg2">
                    <a:lumMod val="25000"/>
                  </a:schemeClr>
                </a:solidFill>
              </a:ln>
            </a:endParaRPr>
          </a:p>
        </xdr:txBody>
      </xdr:sp>
      <xdr:sp macro="" textlink="Backend!AO50">
        <xdr:nvSpPr>
          <xdr:cNvPr id="51" name="TextBox 50">
            <a:extLst>
              <a:ext uri="{FF2B5EF4-FFF2-40B4-BE49-F238E27FC236}">
                <a16:creationId xmlns:a16="http://schemas.microsoft.com/office/drawing/2014/main" id="{F8433D04-5309-4DC3-A384-85EDDF87E088}"/>
              </a:ext>
            </a:extLst>
          </xdr:cNvPr>
          <xdr:cNvSpPr txBox="1"/>
        </xdr:nvSpPr>
        <xdr:spPr>
          <a:xfrm>
            <a:off x="718584" y="761981"/>
            <a:ext cx="3455312" cy="387402"/>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AAEFE1-C53B-460C-86C8-2B9D9816A038}" type="TxLink">
              <a:rPr lang="en-US" sz="2000" b="1" i="0" u="none" strike="noStrike">
                <a:ln>
                  <a:solidFill>
                    <a:schemeClr val="bg2">
                      <a:lumMod val="25000"/>
                    </a:schemeClr>
                  </a:solidFill>
                </a:ln>
                <a:solidFill>
                  <a:srgbClr val="000000"/>
                </a:solidFill>
                <a:latin typeface="Mr Gabe" pitchFamily="2" charset="0"/>
              </a:rPr>
              <a:pPr algn="ctr"/>
              <a:t>With Candy</a:t>
            </a:fld>
            <a:endParaRPr lang="en-US" sz="2000" b="1" i="0" u="none" strike="noStrike">
              <a:ln>
                <a:solidFill>
                  <a:schemeClr val="bg2">
                    <a:lumMod val="25000"/>
                  </a:schemeClr>
                </a:solidFill>
              </a:ln>
              <a:solidFill>
                <a:srgbClr val="000000"/>
              </a:solidFill>
              <a:latin typeface="Mr Gabe" pitchFamily="2" charset="0"/>
            </a:endParaRPr>
          </a:p>
        </xdr:txBody>
      </xdr:sp>
    </xdr:grpSp>
    <xdr:clientData/>
  </xdr:twoCellAnchor>
  <xdr:twoCellAnchor editAs="oneCell">
    <xdr:from>
      <xdr:col>0</xdr:col>
      <xdr:colOff>93809</xdr:colOff>
      <xdr:row>1</xdr:row>
      <xdr:rowOff>28865</xdr:rowOff>
    </xdr:from>
    <xdr:to>
      <xdr:col>1</xdr:col>
      <xdr:colOff>28863</xdr:colOff>
      <xdr:row>3</xdr:row>
      <xdr:rowOff>108238</xdr:rowOff>
    </xdr:to>
    <xdr:pic macro="[0]!Refresh_All">
      <xdr:nvPicPr>
        <xdr:cNvPr id="78" name="Graphic 77" descr="Refresh outline">
          <a:extLst>
            <a:ext uri="{FF2B5EF4-FFF2-40B4-BE49-F238E27FC236}">
              <a16:creationId xmlns:a16="http://schemas.microsoft.com/office/drawing/2014/main" id="{D2426FFE-CED9-A5B4-C7D3-DE2B9B1EFFF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V="1">
          <a:off x="93809" y="281423"/>
          <a:ext cx="584486" cy="584486"/>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87499998" backgroundQuery="1" createdVersion="8" refreshedVersion="8" minRefreshableVersion="3" recordCount="0" supportSubquery="1" supportAdvancedDrill="1" xr:uid="{B8F3F663-4C08-4FC0-B833-37113A616D79}">
  <cacheSource type="external" connectionId="10"/>
  <cacheFields count="5">
    <cacheField name="[Measures].[Total Actuals - Income]" caption="Total Actuals - Income" numFmtId="0" hierarchy="30" level="32767"/>
    <cacheField name="[Measures].[Total Actuals - Expenses]" caption="Total Actuals - Expenses" numFmtId="0" hierarchy="31" level="32767"/>
    <cacheField name="[Measures].[Total Actuals - Debt]" caption="Total Actuals - Debt" numFmtId="0" hierarchy="32" level="32767"/>
    <cacheField name="[Measures].[Total Actuals - Sav &amp; Inv]" caption="Total Actuals - Sav &amp; Inv" numFmtId="0" hierarchy="33"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0"/>
      </fieldsUsage>
    </cacheHierarchy>
    <cacheHierarchy uniqueName="[Measures].[Total Actuals - Expenses]" caption="Total Actuals - Expenses" measure="1" displayFolder="" measureGroup="Transaction_tbl" count="0" oneField="1">
      <fieldsUsage count="1">
        <fieldUsage x="1"/>
      </fieldsUsage>
    </cacheHierarchy>
    <cacheHierarchy uniqueName="[Measures].[Total Actuals - Debt]" caption="Total Actuals - Debt" measure="1" displayFolder="" measureGroup="Transaction_tbl" count="0" oneField="1">
      <fieldsUsage count="1">
        <fieldUsage x="2"/>
      </fieldsUsage>
    </cacheHierarchy>
    <cacheHierarchy uniqueName="[Measures].[Total Actuals - Sav &amp; Inv]" caption="Total Actuals - Sav &amp; Inv" measure="1" displayFolder="" measureGroup="Transaction_tbl" count="0" oneField="1">
      <fieldsUsage count="1">
        <fieldUsage x="3"/>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89930554" backgroundQuery="1" createdVersion="8" refreshedVersion="8" minRefreshableVersion="3" recordCount="0" supportSubquery="1" supportAdvancedDrill="1" xr:uid="{E239A9E5-8933-4C69-9A95-D0E1AE40EA0F}">
  <cacheSource type="external" connectionId="10"/>
  <cacheFields count="4">
    <cacheField name="[Category_Sub].[Choice].[Choice]" caption="Choice" numFmtId="0" hierarchy="11" level="1">
      <sharedItems count="2">
        <s v="High Priority"/>
        <s v="Low Priority"/>
      </sharedItems>
      <extLst>
        <ext xmlns:x15="http://schemas.microsoft.com/office/spreadsheetml/2010/11/main" uri="{4F2E5C28-24EA-4eb8-9CBF-B6C8F9C3D259}">
          <x15:cachedUniqueNames>
            <x15:cachedUniqueName index="0" name="[Category_Sub].[Choice].&amp;[High Priority]"/>
            <x15:cachedUniqueName index="1" name="[Category_Sub].[Choice].&amp;[Low Priority]"/>
          </x15:cachedUniqueNames>
        </ext>
      </extLst>
    </cacheField>
    <cacheField name="[Measures].[Total Actuals - Debt]" caption="Total Actuals - Debt" numFmtId="0" hierarchy="32" level="32767"/>
    <cacheField name="[Measures].[Total Budget - Debt]" caption="Total Budget - Debt" numFmtId="0" hierarchy="37"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1"/>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oneField="1">
      <fieldsUsage count="1">
        <fieldUsage x="2"/>
      </fieldsUsage>
    </cacheHierarchy>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91782409" backgroundQuery="1" createdVersion="8" refreshedVersion="8" minRefreshableVersion="3" recordCount="0" supportSubquery="1" supportAdvancedDrill="1" xr:uid="{E8E16E1C-3A3F-401D-BE95-88F7ABA71EE4}">
  <cacheSource type="external" connectionId="10"/>
  <cacheFields count="5">
    <cacheField name="[Measures].[Total Budget - Income]" caption="Total Budget - Income" numFmtId="0" hierarchy="35" level="32767"/>
    <cacheField name="[Measures].[Total Budget - Expenses]" caption="Total Budget - Expenses" numFmtId="0" hierarchy="36" level="32767"/>
    <cacheField name="[Measures].[Total Budget - Debt]" caption="Total Budget - Debt" numFmtId="0" hierarchy="37" level="32767"/>
    <cacheField name="[Measures].[Total Budget - Sav &amp; Inv]" caption="Total Budget - Sav &amp; Inv" numFmtId="0" hierarchy="38"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oneField="1">
      <fieldsUsage count="1">
        <fieldUsage x="0"/>
      </fieldsUsage>
    </cacheHierarchy>
    <cacheHierarchy uniqueName="[Measures].[Total Budget - Expenses]" caption="Total Budget - Expenses" measure="1" displayFolder="" measureGroup="Piv_Merge" count="0" oneField="1">
      <fieldsUsage count="1">
        <fieldUsage x="1"/>
      </fieldsUsage>
    </cacheHierarchy>
    <cacheHierarchy uniqueName="[Measures].[Total Budget - Debt]" caption="Total Budget - Debt" measure="1" displayFolder="" measureGroup="Piv_Merge" count="0" oneField="1">
      <fieldsUsage count="1">
        <fieldUsage x="2"/>
      </fieldsUsage>
    </cacheHierarchy>
    <cacheHierarchy uniqueName="[Measures].[Total Budget - Sav &amp; Inv]" caption="Total Budget - Sav &amp; Inv" measure="1" displayFolder="" measureGroup="Piv_Merge" count="0" oneField="1">
      <fieldsUsage count="1">
        <fieldUsage x="3"/>
      </fieldsUsage>
    </cacheHierarchy>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93634256" backgroundQuery="1" createdVersion="8" refreshedVersion="8" minRefreshableVersion="3" recordCount="0" supportSubquery="1" supportAdvancedDrill="1" xr:uid="{EF99C824-608B-4358-A338-C7120E3F5BCD}">
  <cacheSource type="external" connectionId="10"/>
  <cacheFields count="5">
    <cacheField name="[Measures].[Difference - Income]" caption="Difference - Income" numFmtId="0" hierarchy="39" level="32767"/>
    <cacheField name="[Measures].[Difference - Expense]" caption="Difference - Expense" numFmtId="0" hierarchy="40" level="32767"/>
    <cacheField name="[Measures].[Difference - Debt]" caption="Difference - Debt" numFmtId="0" hierarchy="41" level="32767"/>
    <cacheField name="[Measures].[Difference - Sav &amp; Inv]" caption="Difference - Sav &amp; Inv" numFmtId="0" hierarchy="42"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oneField="1">
      <fieldsUsage count="1">
        <fieldUsage x="0"/>
      </fieldsUsage>
    </cacheHierarchy>
    <cacheHierarchy uniqueName="[Measures].[Difference - Expense]" caption="Difference - Expense" measure="1" displayFolder="" measureGroup="Transaction_tbl" count="0" oneField="1">
      <fieldsUsage count="1">
        <fieldUsage x="1"/>
      </fieldsUsage>
    </cacheHierarchy>
    <cacheHierarchy uniqueName="[Measures].[Difference - Debt]" caption="Difference - Debt" measure="1" displayFolder="" measureGroup="Transaction_tbl" count="0" oneField="1">
      <fieldsUsage count="1">
        <fieldUsage x="2"/>
      </fieldsUsage>
    </cacheHierarchy>
    <cacheHierarchy uniqueName="[Measures].[Difference - Sav &amp; Inv]" caption="Difference - Sav &amp; Inv" measure="1" displayFolder="" measureGroup="Transaction_tbl" count="0" oneField="1">
      <fieldsUsage count="1">
        <fieldUsage x="3"/>
      </fieldsUsage>
    </cacheHierarchy>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96874997" backgroundQuery="1" createdVersion="8" refreshedVersion="8" minRefreshableVersion="3" recordCount="0" supportSubquery="1" supportAdvancedDrill="1" xr:uid="{54274A03-6C97-4C3A-8086-010256AAB956}">
  <cacheSource type="external" connectionId="10"/>
  <cacheFields count="5">
    <cacheField name="[Measures].[A/B_Income]" caption="A/B_Income" numFmtId="0" hierarchy="43" level="32767"/>
    <cacheField name="[Measures].[A/B_Expenses]" caption="A/B_Expenses" numFmtId="0" hierarchy="44" level="32767"/>
    <cacheField name="[Measures].[A/B_Debt]" caption="A/B_Debt" numFmtId="0" hierarchy="45" level="32767"/>
    <cacheField name="[Measures].[A/B_Sav &amp; Inv]" caption="A/B_Sav &amp; Inv" numFmtId="0" hierarchy="46"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oneField="1">
      <fieldsUsage count="1">
        <fieldUsage x="0"/>
      </fieldsUsage>
    </cacheHierarchy>
    <cacheHierarchy uniqueName="[Measures].[A/B_Expenses]" caption="A/B_Expenses" measure="1" displayFolder="" measureGroup="Piv_Merge" count="0" oneField="1">
      <fieldsUsage count="1">
        <fieldUsage x="1"/>
      </fieldsUsage>
    </cacheHierarchy>
    <cacheHierarchy uniqueName="[Measures].[A/B_Debt]" caption="A/B_Debt" measure="1" displayFolder="" measureGroup="Piv_Merge" count="0" oneField="1">
      <fieldsUsage count="1">
        <fieldUsage x="2"/>
      </fieldsUsage>
    </cacheHierarchy>
    <cacheHierarchy uniqueName="[Measures].[A/B_Sav &amp; Inv]" caption="A/B_Sav &amp; Inv" measure="1" displayFolder="" measureGroup="Piv_Merge" count="0" oneField="1">
      <fieldsUsage count="1">
        <fieldUsage x="3"/>
      </fieldsUsage>
    </cacheHierarchy>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99305552" backgroundQuery="1" createdVersion="8" refreshedVersion="8" minRefreshableVersion="3" recordCount="0" supportSubquery="1" supportAdvancedDrill="1" xr:uid="{2BC2FB90-3E73-40EC-8201-0D34709688AF}">
  <cacheSource type="external" connectionId="10"/>
  <cacheFields count="4">
    <cacheField name="[Category_Sub].[Choice].[Choice]" caption="Choice" numFmtId="0" hierarchy="11" level="1">
      <sharedItems count="2">
        <s v="Need"/>
        <s v="Want"/>
      </sharedItems>
      <extLst>
        <ext xmlns:x15="http://schemas.microsoft.com/office/spreadsheetml/2010/11/main" uri="{4F2E5C28-24EA-4eb8-9CBF-B6C8F9C3D259}">
          <x15:cachedUniqueNames>
            <x15:cachedUniqueName index="0" name="[Category_Sub].[Choice].&amp;[Need]"/>
            <x15:cachedUniqueName index="1" name="[Category_Sub].[Choice].&amp;[Want]"/>
          </x15:cachedUniqueNames>
        </ext>
      </extLst>
    </cacheField>
    <cacheField name="[Measures].[Total Actuals - Expenses]" caption="Total Actuals - Expenses" numFmtId="0" hierarchy="31" level="32767"/>
    <cacheField name="[Measures].[Total Budget - Expenses]" caption="Total Budget - Expenses" numFmtId="0" hierarchy="36"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oneField="1">
      <fieldsUsage count="1">
        <fieldUsage x="1"/>
      </fieldsUsage>
    </cacheHierarchy>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oneField="1">
      <fieldsUsage count="1">
        <fieldUsage x="2"/>
      </fieldsUsage>
    </cacheHierarchy>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01388892" backgroundQuery="1" createdVersion="8" refreshedVersion="8" minRefreshableVersion="3" recordCount="0" supportSubquery="1" supportAdvancedDrill="1" xr:uid="{F9ECC8D6-713E-4075-9242-37563F7B45D3}">
  <cacheSource type="external" connectionId="10"/>
  <cacheFields count="2">
    <cacheField name="[Measures].[SlicerSelection]" caption="SlicerSelection" numFmtId="0" hierarchy="47"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1"/>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oneField="1">
      <fieldsUsage count="1">
        <fieldUsage x="0"/>
      </fieldsUsage>
    </cacheHierarchy>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04513887" backgroundQuery="1" createdVersion="8" refreshedVersion="8" minRefreshableVersion="3" recordCount="0" supportSubquery="1" supportAdvancedDrill="1" xr:uid="{00C7C7E8-EC09-47CD-89AA-1AE2C753F230}">
  <cacheSource type="external" connectionId="10"/>
  <cacheFields count="6">
    <cacheField name="[Category_Sub].[Subcategory].[Subcategory]" caption="Subcategory" numFmtId="0" hierarchy="10" level="1">
      <sharedItems count="5">
        <s v="CAF"/>
        <s v="Family Support"/>
        <s v="Internship"/>
        <s v="Side Gigs"/>
        <s v="Student Job"/>
      </sharedItems>
      <extLst>
        <ext xmlns:x15="http://schemas.microsoft.com/office/spreadsheetml/2010/11/main" uri="{4F2E5C28-24EA-4eb8-9CBF-B6C8F9C3D259}">
          <x15:cachedUniqueNames>
            <x15:cachedUniqueName index="0" name="[Category_Sub].[Subcategory].&amp;[CAF]"/>
            <x15:cachedUniqueName index="1" name="[Category_Sub].[Subcategory].&amp;[Family Support]"/>
            <x15:cachedUniqueName index="2" name="[Category_Sub].[Subcategory].&amp;[Internship]"/>
            <x15:cachedUniqueName index="3" name="[Category_Sub].[Subcategory].&amp;[Side Gigs]"/>
            <x15:cachedUniqueName index="4" name="[Category_Sub].[Subcategory].&amp;[Student Job]"/>
          </x15:cachedUniqueNames>
        </ext>
      </extLst>
    </cacheField>
    <cacheField name="[Category_Sub].[Category].[Category]" caption="Category" numFmtId="0" hierarchy="9" level="1">
      <sharedItems containsSemiMixedTypes="0" containsNonDate="0" containsString="0"/>
    </cacheField>
    <cacheField name="[Measures].[Total Budget - Income]" caption="Total Budget - Income" numFmtId="0" hierarchy="35" level="32767"/>
    <cacheField name="[Measures].[Total Actuals - Income]" caption="Total Actuals - Income" numFmtId="0" hierarchy="30" level="32767"/>
    <cacheField name="[Measures].[Difference - Income]" caption="Difference - Income" numFmtId="0" hierarchy="39"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2" memberValueDatatype="130" unbalanced="0">
      <fieldsUsage count="2">
        <fieldUsage x="-1"/>
        <fieldUsage x="1"/>
      </fieldsUsage>
    </cacheHierarchy>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5"/>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3"/>
      </fieldsUsage>
    </cacheHierarchy>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oneField="1">
      <fieldsUsage count="1">
        <fieldUsage x="2"/>
      </fieldsUsage>
    </cacheHierarchy>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oneField="1">
      <fieldsUsage count="1">
        <fieldUsage x="4"/>
      </fieldsUsage>
    </cacheHierarchy>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07986112" backgroundQuery="1" createdVersion="8" refreshedVersion="8" minRefreshableVersion="3" recordCount="0" supportSubquery="1" supportAdvancedDrill="1" xr:uid="{F8C544BE-2C2E-4B3C-A8F3-0A01BBBE4FB5}">
  <cacheSource type="external" connectionId="10"/>
  <cacheFields count="5">
    <cacheField name="[Category_Sub].[Subcategory].[Subcategory]" caption="Subcategory" numFmtId="0" hierarchy="10" level="1">
      <sharedItems count="10">
        <s v="Eating Out"/>
        <s v="Groceries"/>
        <s v="Gym"/>
        <s v="Health &amp; Pharmacy"/>
        <s v="Leisure"/>
        <s v="Rent"/>
        <s v="Shopping"/>
        <s v="Subscriptions"/>
        <s v="Transport"/>
        <s v="Utilities &amp; Internet"/>
      </sharedItems>
      <extLst>
        <ext xmlns:x15="http://schemas.microsoft.com/office/spreadsheetml/2010/11/main" uri="{4F2E5C28-24EA-4eb8-9CBF-B6C8F9C3D259}">
          <x15:cachedUniqueNames>
            <x15:cachedUniqueName index="0" name="[Category_Sub].[Subcategory].&amp;[Eating Out]"/>
            <x15:cachedUniqueName index="1" name="[Category_Sub].[Subcategory].&amp;[Groceries]"/>
            <x15:cachedUniqueName index="2" name="[Category_Sub].[Subcategory].&amp;[Gym]"/>
            <x15:cachedUniqueName index="3" name="[Category_Sub].[Subcategory].&amp;[Health &amp; Pharmacy]"/>
            <x15:cachedUniqueName index="4" name="[Category_Sub].[Subcategory].&amp;[Leisure]"/>
            <x15:cachedUniqueName index="5" name="[Category_Sub].[Subcategory].&amp;[Rent]"/>
            <x15:cachedUniqueName index="6" name="[Category_Sub].[Subcategory].&amp;[Shopping]"/>
            <x15:cachedUniqueName index="7" name="[Category_Sub].[Subcategory].&amp;[Subscriptions]"/>
            <x15:cachedUniqueName index="8" name="[Category_Sub].[Subcategory].&amp;[Transport]"/>
            <x15:cachedUniqueName index="9" name="[Category_Sub].[Subcategory].&amp;[Utilities &amp; Internet]"/>
          </x15:cachedUniqueNames>
        </ext>
      </extLst>
    </cacheField>
    <cacheField name="[Measures].[Total Budget - Expenses]" caption="Total Budget - Expenses" numFmtId="0" hierarchy="36" level="32767"/>
    <cacheField name="[Measures].[Total Actuals - Expenses]" caption="Total Actuals - Expenses" numFmtId="0" hierarchy="31" level="32767"/>
    <cacheField name="[Measures].[Difference - Expense]" caption="Difference - Expense" numFmtId="0" hierarchy="40"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oneField="1">
      <fieldsUsage count="1">
        <fieldUsage x="2"/>
      </fieldsUsage>
    </cacheHierarchy>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oneField="1">
      <fieldsUsage count="1">
        <fieldUsage x="1"/>
      </fieldsUsage>
    </cacheHierarchy>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oneField="1">
      <fieldsUsage count="1">
        <fieldUsage x="3"/>
      </fieldsUsage>
    </cacheHierarchy>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10995368" backgroundQuery="1" createdVersion="8" refreshedVersion="8" minRefreshableVersion="3" recordCount="0" supportSubquery="1" supportAdvancedDrill="1" xr:uid="{73286BDD-D233-4323-8915-A53775241989}">
  <cacheSource type="external" connectionId="10"/>
  <cacheFields count="5">
    <cacheField name="[Category_Sub].[Subcategory].[Subcategory]" caption="Subcategory" numFmtId="0" hierarchy="10" level="1">
      <sharedItems count="2">
        <s v="Credit Card"/>
        <s v="Student Loan"/>
      </sharedItems>
      <extLst>
        <ext xmlns:x15="http://schemas.microsoft.com/office/spreadsheetml/2010/11/main" uri="{4F2E5C28-24EA-4eb8-9CBF-B6C8F9C3D259}">
          <x15:cachedUniqueNames>
            <x15:cachedUniqueName index="0" name="[Category_Sub].[Subcategory].&amp;[Credit Card]"/>
            <x15:cachedUniqueName index="1" name="[Category_Sub].[Subcategory].&amp;[Student Loan]"/>
          </x15:cachedUniqueNames>
        </ext>
      </extLst>
    </cacheField>
    <cacheField name="[Measures].[Total Budget - Debt]" caption="Total Budget - Debt" numFmtId="0" hierarchy="37" level="32767"/>
    <cacheField name="[Measures].[Total Actuals - Debt]" caption="Total Actuals - Debt" numFmtId="0" hierarchy="32" level="32767"/>
    <cacheField name="[Measures].[Difference - Debt]" caption="Difference - Debt" numFmtId="0" hierarchy="41"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2"/>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oneField="1">
      <fieldsUsage count="1">
        <fieldUsage x="1"/>
      </fieldsUsage>
    </cacheHierarchy>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oneField="1">
      <fieldsUsage count="1">
        <fieldUsage x="3"/>
      </fieldsUsage>
    </cacheHierarchy>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13425923" backgroundQuery="1" createdVersion="8" refreshedVersion="8" minRefreshableVersion="3" recordCount="0" supportSubquery="1" supportAdvancedDrill="1" xr:uid="{7A5E275A-097C-4804-96CF-5CB5637CBDBE}">
  <cacheSource type="external" connectionId="10"/>
  <cacheFields count="5">
    <cacheField name="[Category_Sub].[Subcategory].[Subcategory]" caption="Subcategory" numFmtId="0" hierarchy="10" level="1">
      <sharedItems count="4">
        <s v="Emergency Fund"/>
        <s v="Investing"/>
        <s v="Travel Fund"/>
        <s v="Tuition"/>
      </sharedItems>
      <extLst>
        <ext xmlns:x15="http://schemas.microsoft.com/office/spreadsheetml/2010/11/main" uri="{4F2E5C28-24EA-4eb8-9CBF-B6C8F9C3D259}">
          <x15:cachedUniqueNames>
            <x15:cachedUniqueName index="0" name="[Category_Sub].[Subcategory].&amp;[Emergency Fund]"/>
            <x15:cachedUniqueName index="1" name="[Category_Sub].[Subcategory].&amp;[Investing]"/>
            <x15:cachedUniqueName index="2" name="[Category_Sub].[Subcategory].&amp;[Travel Fund]"/>
            <x15:cachedUniqueName index="3" name="[Category_Sub].[Subcategory].&amp;[Tuition]"/>
          </x15:cachedUniqueNames>
        </ext>
      </extLst>
    </cacheField>
    <cacheField name="[Measures].[Total Budget - Sav &amp; Inv]" caption="Total Budget - Sav &amp; Inv" numFmtId="0" hierarchy="38" level="32767"/>
    <cacheField name="[Measures].[Total Actuals - Sav &amp; Inv]" caption="Total Actuals - Sav &amp; Inv" numFmtId="0" hierarchy="33" level="32767"/>
    <cacheField name="[Measures].[Difference - Sav &amp; Inv]" caption="Difference - Sav &amp; Inv" numFmtId="0" hierarchy="42"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4"/>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oneField="1">
      <fieldsUsage count="1">
        <fieldUsage x="2"/>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oneField="1">
      <fieldsUsage count="1">
        <fieldUsage x="1"/>
      </fieldsUsage>
    </cacheHierarchy>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oneField="1">
      <fieldsUsage count="1">
        <fieldUsage x="3"/>
      </fieldsUsage>
    </cacheHierarchy>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5011574" backgroundQuery="1" createdVersion="8" refreshedVersion="8" minRefreshableVersion="3" recordCount="0" supportSubquery="1" supportAdvancedDrill="1" xr:uid="{785295D9-DB10-4908-B38B-C876ADFB2812}">
  <cacheSource type="external" connectionId="10"/>
  <cacheFields count="4">
    <cacheField name="[Category_Sub].[Choice].[Choice]" caption="Choice" numFmtId="0" hierarchy="11" level="1">
      <sharedItems count="2">
        <s v="Active"/>
        <s v="Passive"/>
      </sharedItems>
      <extLst>
        <ext xmlns:x15="http://schemas.microsoft.com/office/spreadsheetml/2010/11/main" uri="{4F2E5C28-24EA-4eb8-9CBF-B6C8F9C3D259}">
          <x15:cachedUniqueNames>
            <x15:cachedUniqueName index="0" name="[Category_Sub].[Choice].&amp;[Active]"/>
            <x15:cachedUniqueName index="1" name="[Category_Sub].[Choice].&amp;[Passive]"/>
          </x15:cachedUniqueNames>
        </ext>
      </extLst>
    </cacheField>
    <cacheField name="[Measures].[Total Actuals - Income]" caption="Total Actuals - Income" numFmtId="0" hierarchy="30" level="32767"/>
    <cacheField name="[Measures].[Total Budget - Income]" caption="Total Budget - Income" numFmtId="0" hierarchy="35"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1"/>
      </fieldsUsage>
    </cacheHierarchy>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oneField="1">
      <fieldsUsage count="1">
        <fieldUsage x="2"/>
      </fieldsUsage>
    </cacheHierarchy>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785185189" backgroundQuery="1" createdVersion="3" refreshedVersion="8" minRefreshableVersion="3" recordCount="0" supportSubquery="1" supportAdvancedDrill="1" xr:uid="{8799D933-ADFC-4847-9F08-2E4F4E603E59}">
  <cacheSource type="external" connectionId="10">
    <extLst>
      <ext xmlns:x14="http://schemas.microsoft.com/office/spreadsheetml/2009/9/main" uri="{F057638F-6D5F-4e77-A914-E7F072B9BCA8}">
        <x14:sourceConnection name="ThisWorkbookDataModel"/>
      </ext>
    </extLst>
  </cacheSource>
  <cacheFields count="0"/>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04414501"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18981481" backgroundQuery="1" createdVersion="8" refreshedVersion="8" minRefreshableVersion="3" recordCount="0" supportSubquery="1" supportAdvancedDrill="1" xr:uid="{D4EB7706-524E-49FC-B6D2-140A4226DC88}">
  <cacheSource type="external" connectionId="10">
    <extLst>
      <ext xmlns:x14="http://schemas.microsoft.com/office/spreadsheetml/2009/9/main" uri="{F057638F-6D5F-4e77-A914-E7F072B9BCA8}">
        <x14:sourceConnection name="ThisWorkbookDataModel"/>
      </ext>
    </extLst>
  </cacheSource>
  <cacheFields count="5">
    <cacheField name="[Month_Sub].[Month].[Month]" caption="Month" numFmtId="0" hierarchy="1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_Sub].[Month].&amp;[Jan]"/>
            <x15:cachedUniqueName index="1" name="[Month_Sub].[Month].&amp;[Feb]"/>
            <x15:cachedUniqueName index="2" name="[Month_Sub].[Month].&amp;[Mar]"/>
            <x15:cachedUniqueName index="3" name="[Month_Sub].[Month].&amp;[Apr]"/>
            <x15:cachedUniqueName index="4" name="[Month_Sub].[Month].&amp;[May]"/>
            <x15:cachedUniqueName index="5" name="[Month_Sub].[Month].&amp;[Jun]"/>
            <x15:cachedUniqueName index="6" name="[Month_Sub].[Month].&amp;[Jul]"/>
            <x15:cachedUniqueName index="7" name="[Month_Sub].[Month].&amp;[Aug]"/>
            <x15:cachedUniqueName index="8" name="[Month_Sub].[Month].&amp;[Sep]"/>
            <x15:cachedUniqueName index="9" name="[Month_Sub].[Month].&amp;[Oct]"/>
            <x15:cachedUniqueName index="10" name="[Month_Sub].[Month].&amp;[Nov]"/>
            <x15:cachedUniqueName index="11" name="[Month_Sub].[Month].&amp;[Dec]"/>
          </x15:cachedUniqueNames>
        </ext>
      </extLst>
    </cacheField>
    <cacheField name="[Measures].[Total Budget - Sav &amp; Inv]" caption="Total Budget - Sav &amp; Inv" numFmtId="0" hierarchy="38" level="32767"/>
    <cacheField name="[Measures].[Total Actuals - Sav &amp; Inv]" caption="Total Actuals - Sav &amp; Inv" numFmtId="0" hierarchy="33" level="32767"/>
    <cacheField name="Unsupported0" numFmtId="0" hierarchy="54" level="32767">
      <extLst>
        <ext xmlns:x14="http://schemas.microsoft.com/office/spreadsheetml/2009/9/main" uri="{63CAB8AC-B538-458d-9737-405883B0398D}">
          <x14:cacheField ignore="1"/>
        </ext>
      </extLst>
    </cacheField>
    <cacheField name="Unsupported1" numFmtId="0" hierarchy="55" level="32767">
      <extLst>
        <ext xmlns:x14="http://schemas.microsoft.com/office/spreadsheetml/2009/9/main" uri="{63CAB8AC-B538-458d-9737-405883B0398D}">
          <x14:cacheField ignore="1"/>
        </ext>
      </extLst>
    </cacheField>
  </cacheFields>
  <cacheHierarchies count="5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0"/>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oneField="1">
      <fieldsUsage count="1">
        <fieldUsage x="2"/>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oneField="1">
      <fieldsUsage count="1">
        <fieldUsage x="1"/>
      </fieldsUsage>
    </cacheHierarchy>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y uniqueName="Unsupported0" caption="Date" measure="1" count="0">
      <extLst>
        <ext xmlns:x14="http://schemas.microsoft.com/office/spreadsheetml/2009/9/main" uri="{8CF416AD-EC4C-4aba-99F5-12A058AE0983}">
          <x14:cacheHierarchy ignore="1"/>
        </ext>
      </extLst>
    </cacheHierarchy>
    <cacheHierarchy uniqueName="Unsupported1" caption="Date" measure="1" count="0">
      <extLst>
        <ext xmlns:x14="http://schemas.microsoft.com/office/spreadsheetml/2009/9/main" uri="{8CF416AD-EC4C-4aba-99F5-12A058AE0983}">
          <x14:cacheHierarchy ignore="1"/>
        </ext>
      </extLst>
    </cacheHierarchy>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203280510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2175926" backgroundQuery="1" createdVersion="8" refreshedVersion="8" minRefreshableVersion="3" recordCount="0" supportSubquery="1" supportAdvancedDrill="1" xr:uid="{4549D9A8-3582-4840-8FF3-2F037CE901AB}">
  <cacheSource type="external" connectionId="10">
    <extLst>
      <ext xmlns:x14="http://schemas.microsoft.com/office/spreadsheetml/2009/9/main" uri="{F057638F-6D5F-4e77-A914-E7F072B9BCA8}">
        <x14:sourceConnection name="ThisWorkbookDataModel"/>
      </ext>
    </extLst>
  </cacheSource>
  <cacheFields count="5">
    <cacheField name="[Month_Sub].[Month].[Month]" caption="Month" numFmtId="0" hierarchy="1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_Sub].[Month].&amp;[Jan]"/>
            <x15:cachedUniqueName index="1" name="[Month_Sub].[Month].&amp;[Feb]"/>
            <x15:cachedUniqueName index="2" name="[Month_Sub].[Month].&amp;[Mar]"/>
            <x15:cachedUniqueName index="3" name="[Month_Sub].[Month].&amp;[Apr]"/>
            <x15:cachedUniqueName index="4" name="[Month_Sub].[Month].&amp;[May]"/>
            <x15:cachedUniqueName index="5" name="[Month_Sub].[Month].&amp;[Jun]"/>
            <x15:cachedUniqueName index="6" name="[Month_Sub].[Month].&amp;[Jul]"/>
            <x15:cachedUniqueName index="7" name="[Month_Sub].[Month].&amp;[Aug]"/>
            <x15:cachedUniqueName index="8" name="[Month_Sub].[Month].&amp;[Sep]"/>
            <x15:cachedUniqueName index="9" name="[Month_Sub].[Month].&amp;[Oct]"/>
            <x15:cachedUniqueName index="10" name="[Month_Sub].[Month].&amp;[Nov]"/>
            <x15:cachedUniqueName index="11" name="[Month_Sub].[Month].&amp;[Dec]"/>
          </x15:cachedUniqueNames>
        </ext>
      </extLst>
    </cacheField>
    <cacheField name="[Measures].[Total Actuals - Debt]" caption="Total Actuals - Debt" numFmtId="0" hierarchy="32" level="32767"/>
    <cacheField name="[Measures].[Total Budget - Debt]" caption="Total Budget - Debt" numFmtId="0" hierarchy="37" level="32767"/>
    <cacheField name="Unsupported0" numFmtId="0" hierarchy="54" level="32767">
      <extLst>
        <ext xmlns:x14="http://schemas.microsoft.com/office/spreadsheetml/2009/9/main" uri="{63CAB8AC-B538-458d-9737-405883B0398D}">
          <x14:cacheField ignore="1"/>
        </ext>
      </extLst>
    </cacheField>
    <cacheField name="Unsupported1" numFmtId="0" hierarchy="55" level="32767">
      <extLst>
        <ext xmlns:x14="http://schemas.microsoft.com/office/spreadsheetml/2009/9/main" uri="{63CAB8AC-B538-458d-9737-405883B0398D}">
          <x14:cacheField ignore="1"/>
        </ext>
      </extLst>
    </cacheField>
  </cacheFields>
  <cacheHierarchies count="5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0"/>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1"/>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oneField="1">
      <fieldsUsage count="1">
        <fieldUsage x="2"/>
      </fieldsUsage>
    </cacheHierarchy>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y uniqueName="Unsupported0" caption="Date" measure="1" count="0">
      <extLst>
        <ext xmlns:x14="http://schemas.microsoft.com/office/spreadsheetml/2009/9/main" uri="{8CF416AD-EC4C-4aba-99F5-12A058AE0983}">
          <x14:cacheHierarchy ignore="1"/>
        </ext>
      </extLst>
    </cacheHierarchy>
    <cacheHierarchy uniqueName="Unsupported1" caption="Date" measure="1" count="0">
      <extLst>
        <ext xmlns:x14="http://schemas.microsoft.com/office/spreadsheetml/2009/9/main" uri="{8CF416AD-EC4C-4aba-99F5-12A058AE0983}">
          <x14:cacheHierarchy ignore="1"/>
        </ext>
      </extLst>
    </cacheHierarchy>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679065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23611114" backgroundQuery="1" createdVersion="8" refreshedVersion="8" minRefreshableVersion="3" recordCount="0" supportSubquery="1" supportAdvancedDrill="1" xr:uid="{CF60D1E4-8607-4D76-BE27-62F593FE95E3}">
  <cacheSource type="external" connectionId="10">
    <extLst>
      <ext xmlns:x14="http://schemas.microsoft.com/office/spreadsheetml/2009/9/main" uri="{F057638F-6D5F-4e77-A914-E7F072B9BCA8}">
        <x14:sourceConnection name="ThisWorkbookDataModel"/>
      </ext>
    </extLst>
  </cacheSource>
  <cacheFields count="4">
    <cacheField name="[Category_Sub].[Subcategory].[Subcategory]" caption="Subcategory" numFmtId="0" hierarchy="10" level="1">
      <sharedItems count="10">
        <s v="Eating Out"/>
        <s v="Groceries"/>
        <s v="Gym"/>
        <s v="Health &amp; Pharmacy"/>
        <s v="Leisure"/>
        <s v="Rent"/>
        <s v="Shopping"/>
        <s v="Subscriptions"/>
        <s v="Transport"/>
        <s v="Utilities &amp; Internet"/>
      </sharedItems>
      <extLst>
        <ext xmlns:x15="http://schemas.microsoft.com/office/spreadsheetml/2010/11/main" uri="{4F2E5C28-24EA-4eb8-9CBF-B6C8F9C3D259}">
          <x15:cachedUniqueNames>
            <x15:cachedUniqueName index="0" name="[Category_Sub].[Subcategory].&amp;[Eating Out]"/>
            <x15:cachedUniqueName index="1" name="[Category_Sub].[Subcategory].&amp;[Groceries]"/>
            <x15:cachedUniqueName index="2" name="[Category_Sub].[Subcategory].&amp;[Gym]"/>
            <x15:cachedUniqueName index="3" name="[Category_Sub].[Subcategory].&amp;[Health &amp; Pharmacy]"/>
            <x15:cachedUniqueName index="4" name="[Category_Sub].[Subcategory].&amp;[Leisure]"/>
            <x15:cachedUniqueName index="5" name="[Category_Sub].[Subcategory].&amp;[Rent]"/>
            <x15:cachedUniqueName index="6" name="[Category_Sub].[Subcategory].&amp;[Shopping]"/>
            <x15:cachedUniqueName index="7" name="[Category_Sub].[Subcategory].&amp;[Subscriptions]"/>
            <x15:cachedUniqueName index="8" name="[Category_Sub].[Subcategory].&amp;[Transport]"/>
            <x15:cachedUniqueName index="9" name="[Category_Sub].[Subcategory].&amp;[Utilities &amp; Internet]"/>
          </x15:cachedUniqueNames>
        </ext>
      </extLst>
    </cacheField>
    <cacheField name="[Measures].[Total Actuals - Expenses]" caption="Total Actuals - Expenses" numFmtId="0" hierarchy="31" level="32767"/>
    <cacheField name="[Measures].[Total Budget - Expenses]" caption="Total Budget - Expenses" numFmtId="0" hierarchy="36"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oneField="1">
      <fieldsUsage count="1">
        <fieldUsage x="1"/>
      </fieldsUsage>
    </cacheHierarchy>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oneField="1">
      <fieldsUsage count="1">
        <fieldUsage x="2"/>
      </fieldsUsage>
    </cacheHierarchy>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72389876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26273147" backgroundQuery="1" createdVersion="8" refreshedVersion="8" minRefreshableVersion="3" recordCount="0" supportSubquery="1" supportAdvancedDrill="1" xr:uid="{89AA7F37-ACD1-4D6C-95BF-7F4A1744E838}">
  <cacheSource type="external" connectionId="10">
    <extLst>
      <ext xmlns:x14="http://schemas.microsoft.com/office/spreadsheetml/2009/9/main" uri="{F057638F-6D5F-4e77-A914-E7F072B9BCA8}">
        <x14:sourceConnection name="ThisWorkbookDataModel"/>
      </ext>
    </extLst>
  </cacheSource>
  <cacheFields count="5">
    <cacheField name="[Measures].[Total Budget - Income]" caption="Total Budget - Income" numFmtId="0" hierarchy="35" level="32767"/>
    <cacheField name="[Measures].[Total Actuals - Income]" caption="Total Actuals - Income" numFmtId="0" hierarchy="30" level="32767"/>
    <cacheField name="[Month_Sub].[Month].[Month]" caption="Month" numFmtId="0" hierarchy="1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_Sub].[Month].&amp;[Jan]"/>
            <x15:cachedUniqueName index="1" name="[Month_Sub].[Month].&amp;[Feb]"/>
            <x15:cachedUniqueName index="2" name="[Month_Sub].[Month].&amp;[Mar]"/>
            <x15:cachedUniqueName index="3" name="[Month_Sub].[Month].&amp;[Apr]"/>
            <x15:cachedUniqueName index="4" name="[Month_Sub].[Month].&amp;[May]"/>
            <x15:cachedUniqueName index="5" name="[Month_Sub].[Month].&amp;[Jun]"/>
            <x15:cachedUniqueName index="6" name="[Month_Sub].[Month].&amp;[Jul]"/>
            <x15:cachedUniqueName index="7" name="[Month_Sub].[Month].&amp;[Aug]"/>
            <x15:cachedUniqueName index="8" name="[Month_Sub].[Month].&amp;[Sep]"/>
            <x15:cachedUniqueName index="9" name="[Month_Sub].[Month].&amp;[Oct]"/>
            <x15:cachedUniqueName index="10" name="[Month_Sub].[Month].&amp;[Nov]"/>
            <x15:cachedUniqueName index="11" name="[Month_Sub].[Month].&amp;[Dec]"/>
          </x15:cachedUniqueNames>
        </ext>
      </extLst>
    </cacheField>
    <cacheField name="Unsupported0" numFmtId="0" hierarchy="54" level="32767">
      <extLst>
        <ext xmlns:x14="http://schemas.microsoft.com/office/spreadsheetml/2009/9/main" uri="{63CAB8AC-B538-458d-9737-405883B0398D}">
          <x14:cacheField ignore="1"/>
        </ext>
      </extLst>
    </cacheField>
    <cacheField name="Unsupported1" numFmtId="0" hierarchy="55" level="32767">
      <extLst>
        <ext xmlns:x14="http://schemas.microsoft.com/office/spreadsheetml/2009/9/main" uri="{63CAB8AC-B538-458d-9737-405883B0398D}">
          <x14:cacheField ignore="1"/>
        </ext>
      </extLst>
    </cacheField>
  </cacheFields>
  <cacheHierarchies count="5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2"/>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1"/>
      </fieldsUsage>
    </cacheHierarchy>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oneField="1">
      <fieldsUsage count="1">
        <fieldUsage x="0"/>
      </fieldsUsage>
    </cacheHierarchy>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y uniqueName="Unsupported0" caption="Date" measure="1" count="0">
      <extLst>
        <ext xmlns:x14="http://schemas.microsoft.com/office/spreadsheetml/2009/9/main" uri="{8CF416AD-EC4C-4aba-99F5-12A058AE0983}">
          <x14:cacheHierarchy ignore="1"/>
        </ext>
      </extLst>
    </cacheHierarchy>
    <cacheHierarchy uniqueName="Unsupported1" caption="Date" measure="1" count="0">
      <extLst>
        <ext xmlns:x14="http://schemas.microsoft.com/office/spreadsheetml/2009/9/main" uri="{8CF416AD-EC4C-4aba-99F5-12A058AE0983}">
          <x14:cacheHierarchy ignore="1"/>
        </ext>
      </extLst>
    </cacheHierarchy>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82279513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28587964" backgroundQuery="1" createdVersion="8" refreshedVersion="8" minRefreshableVersion="3" recordCount="0" supportSubquery="1" supportAdvancedDrill="1" xr:uid="{96CC8358-723C-4F26-B97C-8DD8CAD9A082}">
  <cacheSource type="external" connectionId="10">
    <extLst>
      <ext xmlns:x14="http://schemas.microsoft.com/office/spreadsheetml/2009/9/main" uri="{F057638F-6D5F-4e77-A914-E7F072B9BCA8}">
        <x14:sourceConnection name="ThisWorkbookDataModel"/>
      </ext>
    </extLst>
  </cacheSource>
  <cacheFields count="4">
    <cacheField name="[Category_Sub].[Subcategory].[Subcategory]" caption="Subcategory" numFmtId="0" hierarchy="10" level="1">
      <sharedItems count="5">
        <s v="CAF"/>
        <s v="Family Support"/>
        <s v="Internship"/>
        <s v="Side Gigs"/>
        <s v="Student Job"/>
      </sharedItems>
      <extLst>
        <ext xmlns:x15="http://schemas.microsoft.com/office/spreadsheetml/2010/11/main" uri="{4F2E5C28-24EA-4eb8-9CBF-B6C8F9C3D259}">
          <x15:cachedUniqueNames>
            <x15:cachedUniqueName index="0" name="[Category_Sub].[Subcategory].&amp;[CAF]"/>
            <x15:cachedUniqueName index="1" name="[Category_Sub].[Subcategory].&amp;[Family Support]"/>
            <x15:cachedUniqueName index="2" name="[Category_Sub].[Subcategory].&amp;[Internship]"/>
            <x15:cachedUniqueName index="3" name="[Category_Sub].[Subcategory].&amp;[Side Gigs]"/>
            <x15:cachedUniqueName index="4" name="[Category_Sub].[Subcategory].&amp;[Student Job]"/>
          </x15:cachedUniqueNames>
        </ext>
      </extLst>
    </cacheField>
    <cacheField name="[Measures].[Total Budget - Income]" caption="Total Budget - Income" numFmtId="0" hierarchy="35" level="32767"/>
    <cacheField name="[Measures].[Total Actuals - Income]" caption="Total Actuals - Income" numFmtId="0" hierarchy="30"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2"/>
      </fieldsUsage>
    </cacheHierarchy>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oneField="1">
      <fieldsUsage count="1">
        <fieldUsage x="1"/>
      </fieldsUsage>
    </cacheHierarchy>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5514205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30208334" backgroundQuery="1" createdVersion="8" refreshedVersion="8" minRefreshableVersion="3" recordCount="0" supportSubquery="1" supportAdvancedDrill="1" xr:uid="{60B58DA6-F541-4B31-8493-FF2A42C64421}">
  <cacheSource type="external" connectionId="10">
    <extLst>
      <ext xmlns:x14="http://schemas.microsoft.com/office/spreadsheetml/2009/9/main" uri="{F057638F-6D5F-4e77-A914-E7F072B9BCA8}">
        <x14:sourceConnection name="ThisWorkbookDataModel"/>
      </ext>
    </extLst>
  </cacheSource>
  <cacheFields count="4">
    <cacheField name="[Category_Sub].[Subcategory].[Subcategory]" caption="Subcategory" numFmtId="0" hierarchy="10" level="1">
      <sharedItems count="4">
        <s v="Emergency Fund"/>
        <s v="Investing"/>
        <s v="Travel Fund"/>
        <s v="Tuition"/>
      </sharedItems>
      <extLst>
        <ext xmlns:x15="http://schemas.microsoft.com/office/spreadsheetml/2010/11/main" uri="{4F2E5C28-24EA-4eb8-9CBF-B6C8F9C3D259}">
          <x15:cachedUniqueNames>
            <x15:cachedUniqueName index="0" name="[Category_Sub].[Subcategory].&amp;[Emergency Fund]"/>
            <x15:cachedUniqueName index="1" name="[Category_Sub].[Subcategory].&amp;[Investing]"/>
            <x15:cachedUniqueName index="2" name="[Category_Sub].[Subcategory].&amp;[Travel Fund]"/>
            <x15:cachedUniqueName index="3" name="[Category_Sub].[Subcategory].&amp;[Tuition]"/>
          </x15:cachedUniqueNames>
        </ext>
      </extLst>
    </cacheField>
    <cacheField name="[Measures].[Total Budget - Sav &amp; Inv]" caption="Total Budget - Sav &amp; Inv" numFmtId="0" hierarchy="38" level="32767"/>
    <cacheField name="[Measures].[Total Actuals - Sav &amp; Inv]" caption="Total Actuals - Sav &amp; Inv" numFmtId="0" hierarchy="33"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oneField="1">
      <fieldsUsage count="1">
        <fieldUsage x="2"/>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oneField="1">
      <fieldsUsage count="1">
        <fieldUsage x="1"/>
      </fieldsUsage>
    </cacheHierarchy>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55850737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32986113" backgroundQuery="1" createdVersion="8" refreshedVersion="8" minRefreshableVersion="3" recordCount="0" supportSubquery="1" supportAdvancedDrill="1" xr:uid="{D4DAD820-E8D1-4E11-A47A-AF8624FA99A4}">
  <cacheSource type="external" connectionId="10">
    <extLst>
      <ext xmlns:x14="http://schemas.microsoft.com/office/spreadsheetml/2009/9/main" uri="{F057638F-6D5F-4e77-A914-E7F072B9BCA8}">
        <x14:sourceConnection name="ThisWorkbookDataModel"/>
      </ext>
    </extLst>
  </cacheSource>
  <cacheFields count="4">
    <cacheField name="[Calendar].[Month Number].[Month Number]" caption="Month Number" numFmtId="0" hierarchy="3"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Calendar].[Month Number].&amp;[1]"/>
            <x15:cachedUniqueName index="1" name="[Calendar].[Month Number].&amp;[2]"/>
            <x15:cachedUniqueName index="2" name="[Calendar].[Month Number].&amp;[3]"/>
            <x15:cachedUniqueName index="3" name="[Calendar].[Month Number].&amp;[4]"/>
            <x15:cachedUniqueName index="4" name="[Calendar].[Month Number].&amp;[5]"/>
            <x15:cachedUniqueName index="5" name="[Calendar].[Month Number].&amp;[6]"/>
            <x15:cachedUniqueName index="6" name="[Calendar].[Month Number].&amp;[7]"/>
            <x15:cachedUniqueName index="7" name="[Calendar].[Month Number].&amp;[8]"/>
            <x15:cachedUniqueName index="8" name="[Calendar].[Month Number].&amp;[9]"/>
            <x15:cachedUniqueName index="9" name="[Calendar].[Month Number].&amp;[10]"/>
            <x15:cachedUniqueName index="10" name="[Calendar].[Month Number].&amp;[11]"/>
            <x15:cachedUniqueName index="11" name="[Calendar].[Month Number].&amp;[12]"/>
          </x15:cachedUniqueNames>
        </ext>
      </extLst>
    </cacheField>
    <cacheField name="[Category_Sub].[Choice].[Choice]" caption="Choice" numFmtId="0" hierarchy="11" level="1">
      <sharedItems count="8">
        <s v="Need"/>
        <s v="Want"/>
        <s v="Active" u="1"/>
        <s v="High Priority" u="1"/>
        <s v="Long Term" u="1"/>
        <s v="Low Priority" u="1"/>
        <s v="Passive" u="1"/>
        <s v="Short Term" u="1"/>
      </sharedItems>
      <extLst>
        <ext xmlns:x15="http://schemas.microsoft.com/office/spreadsheetml/2010/11/main" uri="{4F2E5C28-24EA-4eb8-9CBF-B6C8F9C3D259}">
          <x15:cachedUniqueNames>
            <x15:cachedUniqueName index="0" name="[Category_Sub].[Choice].&amp;[Need]"/>
            <x15:cachedUniqueName index="1" name="[Category_Sub].[Choice].&amp;[Want]"/>
          </x15:cachedUniqueNames>
        </ext>
      </extLst>
    </cacheField>
    <cacheField name="[Measures].[Total Actuals - Expenses]" caption="Total Actuals - Expenses" numFmtId="0" hierarchy="31"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fieldsUsage count="2">
        <fieldUsage x="-1"/>
        <fieldUsage x="0"/>
      </fieldsUsage>
    </cacheHierarchy>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1"/>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oneField="1">
      <fieldsUsage count="1">
        <fieldUsage x="2"/>
      </fieldsUsage>
    </cacheHierarchy>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25733523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36574077" backgroundQuery="1" createdVersion="8" refreshedVersion="8" minRefreshableVersion="3" recordCount="0" supportSubquery="1" supportAdvancedDrill="1" xr:uid="{3D998EC2-5FC2-49A6-B71E-1FCD222EDC62}">
  <cacheSource type="external" connectionId="10">
    <extLst>
      <ext xmlns:x14="http://schemas.microsoft.com/office/spreadsheetml/2009/9/main" uri="{F057638F-6D5F-4e77-A914-E7F072B9BCA8}">
        <x14:sourceConnection name="ThisWorkbookDataModel"/>
      </ext>
    </extLst>
  </cacheSource>
  <cacheFields count="4">
    <cacheField name="[Category_Sub].[Choice].[Choice]" caption="Choice" numFmtId="0" hierarchy="11" level="1">
      <sharedItems count="2">
        <s v="Active"/>
        <s v="Passive"/>
      </sharedItems>
      <extLst>
        <ext xmlns:x15="http://schemas.microsoft.com/office/spreadsheetml/2010/11/main" uri="{4F2E5C28-24EA-4eb8-9CBF-B6C8F9C3D259}">
          <x15:cachedUniqueNames>
            <x15:cachedUniqueName index="0" name="[Category_Sub].[Choice].&amp;[Active]"/>
            <x15:cachedUniqueName index="1" name="[Category_Sub].[Choice].&amp;[Passive]"/>
          </x15:cachedUniqueNames>
        </ext>
      </extLst>
    </cacheField>
    <cacheField name="[Measures].[Total Actuals - Income]" caption="Total Actuals - Income" numFmtId="0" hierarchy="30" level="32767"/>
    <cacheField name="[Month_Sub].[Month Number].[Month Number]" caption="Month Number" numFmtId="0" hierarchy="13"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Month_Sub].[Month Number].&amp;[1]"/>
            <x15:cachedUniqueName index="1" name="[Month_Sub].[Month Number].&amp;[2]"/>
            <x15:cachedUniqueName index="2" name="[Month_Sub].[Month Number].&amp;[3]"/>
            <x15:cachedUniqueName index="3" name="[Month_Sub].[Month Number].&amp;[4]"/>
            <x15:cachedUniqueName index="4" name="[Month_Sub].[Month Number].&amp;[5]"/>
            <x15:cachedUniqueName index="5" name="[Month_Sub].[Month Number].&amp;[6]"/>
            <x15:cachedUniqueName index="6" name="[Month_Sub].[Month Number].&amp;[7]"/>
            <x15:cachedUniqueName index="7" name="[Month_Sub].[Month Number].&amp;[8]"/>
            <x15:cachedUniqueName index="8" name="[Month_Sub].[Month Number].&amp;[9]"/>
            <x15:cachedUniqueName index="9" name="[Month_Sub].[Month Number].&amp;[10]"/>
            <x15:cachedUniqueName index="10" name="[Month_Sub].[Month Number].&amp;[11]"/>
            <x15:cachedUniqueName index="11" name="[Month_Sub].[Month Number].&amp;[12]"/>
          </x15:cachedUniqueNames>
        </ext>
      </extLst>
    </cacheField>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2" memberValueDatatype="20" unbalanced="0">
      <fieldsUsage count="2">
        <fieldUsage x="-1"/>
        <fieldUsage x="2"/>
      </fieldsUsage>
    </cacheHierarchy>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oneField="1">
      <fieldsUsage count="1">
        <fieldUsage x="1"/>
      </fieldsUsage>
    </cacheHierarchy>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21890264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38194447" backgroundQuery="1" createdVersion="8" refreshedVersion="8" minRefreshableVersion="3" recordCount="0" supportSubquery="1" supportAdvancedDrill="1" xr:uid="{AE747BCE-FE04-44F3-8E8B-96B940BC2584}">
  <cacheSource type="external" connectionId="10">
    <extLst>
      <ext xmlns:x14="http://schemas.microsoft.com/office/spreadsheetml/2009/9/main" uri="{F057638F-6D5F-4e77-A914-E7F072B9BCA8}">
        <x14:sourceConnection name="ThisWorkbookDataModel"/>
      </ext>
    </extLst>
  </cacheSource>
  <cacheFields count="4">
    <cacheField name="[Calendar].[Month Number].[Month Number]" caption="Month Number" numFmtId="0" hierarchy="3" level="1">
      <sharedItems containsSemiMixedTypes="0" containsString="0" containsNumber="1" containsInteger="1" minValue="1" maxValue="12" count="12">
        <n v="1"/>
        <n v="2"/>
        <n v="3"/>
        <n v="5"/>
        <n v="11"/>
        <n v="10" u="1"/>
        <n v="4" u="1"/>
        <n v="6" u="1"/>
        <n v="7" u="1"/>
        <n v="8" u="1"/>
        <n v="9" u="1"/>
        <n v="12" u="1"/>
      </sharedItems>
      <extLst>
        <ext xmlns:x15="http://schemas.microsoft.com/office/spreadsheetml/2010/11/main" uri="{4F2E5C28-24EA-4eb8-9CBF-B6C8F9C3D259}">
          <x15:cachedUniqueNames>
            <x15:cachedUniqueName index="0" name="[Calendar].[Month Number].&amp;[1]"/>
            <x15:cachedUniqueName index="1" name="[Calendar].[Month Number].&amp;[2]"/>
            <x15:cachedUniqueName index="2" name="[Calendar].[Month Number].&amp;[3]"/>
            <x15:cachedUniqueName index="3" name="[Calendar].[Month Number].&amp;[5]"/>
            <x15:cachedUniqueName index="4" name="[Calendar].[Month Number].&amp;[11]"/>
            <x15:cachedUniqueName index="5" name="[Calendar].[Month Number].&amp;[10]"/>
            <x15:cachedUniqueName index="6" name="[Calendar].[Month Number].&amp;[4]"/>
            <x15:cachedUniqueName index="7" name="[Calendar].[Month Number].&amp;[6]"/>
            <x15:cachedUniqueName index="8" name="[Calendar].[Month Number].&amp;[7]"/>
            <x15:cachedUniqueName index="9" name="[Calendar].[Month Number].&amp;[8]"/>
            <x15:cachedUniqueName index="10" name="[Calendar].[Month Number].&amp;[9]"/>
            <x15:cachedUniqueName index="11" name="[Calendar].[Month Number].&amp;[12]"/>
          </x15:cachedUniqueNames>
        </ext>
      </extLst>
    </cacheField>
    <cacheField name="[Category_Sub].[Choice].[Choice]" caption="Choice" numFmtId="0" hierarchy="11" level="1">
      <sharedItems count="2">
        <s v="High Priority"/>
        <s v="Low Priority"/>
      </sharedItems>
      <extLst>
        <ext xmlns:x15="http://schemas.microsoft.com/office/spreadsheetml/2010/11/main" uri="{4F2E5C28-24EA-4eb8-9CBF-B6C8F9C3D259}">
          <x15:cachedUniqueNames>
            <x15:cachedUniqueName index="0" name="[Category_Sub].[Choice].&amp;[High Priority]"/>
            <x15:cachedUniqueName index="1" name="[Category_Sub].[Choice].&amp;[Low Priority]"/>
          </x15:cachedUniqueNames>
        </ext>
      </extLst>
    </cacheField>
    <cacheField name="[Measures].[Total Actuals - Debt]" caption="Total Actuals - Debt" numFmtId="0" hierarchy="32"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fieldsUsage count="2">
        <fieldUsage x="-1"/>
        <fieldUsage x="0"/>
      </fieldsUsage>
    </cacheHierarchy>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1"/>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2"/>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4054610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40046295" backgroundQuery="1" createdVersion="8" refreshedVersion="8" minRefreshableVersion="3" recordCount="0" supportSubquery="1" supportAdvancedDrill="1" xr:uid="{4963C15F-48C2-46FF-A081-B21D2F3B8190}">
  <cacheSource type="external" connectionId="10">
    <extLst>
      <ext xmlns:x14="http://schemas.microsoft.com/office/spreadsheetml/2009/9/main" uri="{F057638F-6D5F-4e77-A914-E7F072B9BCA8}">
        <x14:sourceConnection name="ThisWorkbookDataModel"/>
      </ext>
    </extLst>
  </cacheSource>
  <cacheFields count="4">
    <cacheField name="[Category_Sub].[Choice].[Choice]" caption="Choice" numFmtId="0" hierarchy="11" level="1">
      <sharedItems count="2">
        <s v="Long Term"/>
        <s v="Short Term"/>
      </sharedItems>
      <extLst>
        <ext xmlns:x15="http://schemas.microsoft.com/office/spreadsheetml/2010/11/main" uri="{4F2E5C28-24EA-4eb8-9CBF-B6C8F9C3D259}">
          <x15:cachedUniqueNames>
            <x15:cachedUniqueName index="0" name="[Category_Sub].[Choice].&amp;[Long Term]"/>
            <x15:cachedUniqueName index="1" name="[Category_Sub].[Choice].&amp;[Short Term]"/>
          </x15:cachedUniqueNames>
        </ext>
      </extLst>
    </cacheField>
    <cacheField name="[Measures].[Total Actuals - Sav &amp; Inv]" caption="Total Actuals - Sav &amp; Inv" numFmtId="0" hierarchy="33" level="32767"/>
    <cacheField name="[Calendar].[Month Number].[Month Number]" caption="Month Number" numFmtId="0" hierarchy="3" level="1">
      <sharedItems containsSemiMixedTypes="0" containsString="0" containsNumber="1" containsInteger="1" minValue="1" maxValue="12" count="11">
        <n v="1"/>
        <n v="2"/>
        <n v="3"/>
        <n v="4"/>
        <n v="5"/>
        <n v="6"/>
        <n v="7"/>
        <n v="8"/>
        <n v="9"/>
        <n v="10"/>
        <n v="12"/>
      </sharedItems>
      <extLst>
        <ext xmlns:x15="http://schemas.microsoft.com/office/spreadsheetml/2010/11/main" uri="{4F2E5C28-24EA-4eb8-9CBF-B6C8F9C3D259}">
          <x15:cachedUniqueNames>
            <x15:cachedUniqueName index="0" name="[Calendar].[Month Number].&amp;[1]"/>
            <x15:cachedUniqueName index="1" name="[Calendar].[Month Number].&amp;[2]"/>
            <x15:cachedUniqueName index="2" name="[Calendar].[Month Number].&amp;[3]"/>
            <x15:cachedUniqueName index="3" name="[Calendar].[Month Number].&amp;[4]"/>
            <x15:cachedUniqueName index="4" name="[Calendar].[Month Number].&amp;[5]"/>
            <x15:cachedUniqueName index="5" name="[Calendar].[Month Number].&amp;[6]"/>
            <x15:cachedUniqueName index="6" name="[Calendar].[Month Number].&amp;[7]"/>
            <x15:cachedUniqueName index="7" name="[Calendar].[Month Number].&amp;[8]"/>
            <x15:cachedUniqueName index="8" name="[Calendar].[Month Number].&amp;[9]"/>
            <x15:cachedUniqueName index="9" name="[Calendar].[Month Number].&amp;[10]"/>
            <x15:cachedUniqueName index="10" name="[Calendar].[Month Number].&amp;[12]"/>
          </x15:cachedUniqueNames>
        </ext>
      </extLst>
    </cacheField>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fieldsUsage count="2">
        <fieldUsage x="-1"/>
        <fieldUsage x="2"/>
      </fieldsUsage>
    </cacheHierarchy>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oneField="1">
      <fieldsUsage count="1">
        <fieldUsage x="1"/>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154365551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42245373" backgroundQuery="1" createdVersion="8" refreshedVersion="8" minRefreshableVersion="3" recordCount="0" supportSubquery="1" supportAdvancedDrill="1" xr:uid="{8520F4F7-9951-41D5-8495-B8522A777743}">
  <cacheSource type="external" connectionId="10">
    <extLst>
      <ext xmlns:x14="http://schemas.microsoft.com/office/spreadsheetml/2009/9/main" uri="{F057638F-6D5F-4e77-A914-E7F072B9BCA8}">
        <x14:sourceConnection name="ThisWorkbookDataModel"/>
      </ext>
    </extLst>
  </cacheSource>
  <cacheFields count="3">
    <cacheField name="[Category_Sub].[Choice].[Choice]" caption="Choice" numFmtId="0" hierarchy="11" level="1">
      <sharedItems count="2">
        <s v="Long Term"/>
        <s v="Short Term"/>
      </sharedItems>
      <extLst>
        <ext xmlns:x15="http://schemas.microsoft.com/office/spreadsheetml/2010/11/main" uri="{4F2E5C28-24EA-4eb8-9CBF-B6C8F9C3D259}">
          <x15:cachedUniqueNames>
            <x15:cachedUniqueName index="0" name="[Category_Sub].[Choice].&amp;[Long Term]"/>
            <x15:cachedUniqueName index="1" name="[Category_Sub].[Choice].&amp;[Short Term]"/>
          </x15:cachedUniqueNames>
        </ext>
      </extLst>
    </cacheField>
    <cacheField name="[Measures].[Total Actuals - Sav &amp; Inv]" caption="Total Actuals - Sav &amp; Inv" numFmtId="0" hierarchy="33"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2"/>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oneField="1">
      <fieldsUsage count="1">
        <fieldUsage x="1"/>
      </fieldsUsage>
    </cacheHierarchy>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20968370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44444444" backgroundQuery="1" createdVersion="8" refreshedVersion="8" minRefreshableVersion="3" recordCount="0" supportSubquery="1" supportAdvancedDrill="1" xr:uid="{38D62BF8-F4B7-482E-BB77-74825E328A18}">
  <cacheSource type="external" connectionId="10">
    <extLst>
      <ext xmlns:x14="http://schemas.microsoft.com/office/spreadsheetml/2009/9/main" uri="{F057638F-6D5F-4e77-A914-E7F072B9BCA8}">
        <x14:sourceConnection name="ThisWorkbookDataModel"/>
      </ext>
    </extLst>
  </cacheSource>
  <cacheFields count="5">
    <cacheField name="[Measures].[Total Actuals - Expenses]" caption="Total Actuals - Expenses" numFmtId="0" hierarchy="31" level="32767"/>
    <cacheField name="[Measures].[Total Budget - Expenses]" caption="Total Budget - Expenses" numFmtId="0" hierarchy="36" level="32767"/>
    <cacheField name="[Month_Sub].[Month].[Month]" caption="Month" numFmtId="0" hierarchy="1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_Sub].[Month].&amp;[Jan]"/>
            <x15:cachedUniqueName index="1" name="[Month_Sub].[Month].&amp;[Feb]"/>
            <x15:cachedUniqueName index="2" name="[Month_Sub].[Month].&amp;[Mar]"/>
            <x15:cachedUniqueName index="3" name="[Month_Sub].[Month].&amp;[Apr]"/>
            <x15:cachedUniqueName index="4" name="[Month_Sub].[Month].&amp;[May]"/>
            <x15:cachedUniqueName index="5" name="[Month_Sub].[Month].&amp;[Jun]"/>
            <x15:cachedUniqueName index="6" name="[Month_Sub].[Month].&amp;[Jul]"/>
            <x15:cachedUniqueName index="7" name="[Month_Sub].[Month].&amp;[Aug]"/>
            <x15:cachedUniqueName index="8" name="[Month_Sub].[Month].&amp;[Sep]"/>
            <x15:cachedUniqueName index="9" name="[Month_Sub].[Month].&amp;[Oct]"/>
            <x15:cachedUniqueName index="10" name="[Month_Sub].[Month].&amp;[Nov]"/>
            <x15:cachedUniqueName index="11" name="[Month_Sub].[Month].&amp;[Dec]"/>
          </x15:cachedUniqueNames>
        </ext>
      </extLst>
    </cacheField>
    <cacheField name="Unsupported0" numFmtId="0" hierarchy="54" level="32767">
      <extLst>
        <ext xmlns:x14="http://schemas.microsoft.com/office/spreadsheetml/2009/9/main" uri="{63CAB8AC-B538-458d-9737-405883B0398D}">
          <x14:cacheField ignore="1"/>
        </ext>
      </extLst>
    </cacheField>
    <cacheField name="Unsupported1" numFmtId="0" hierarchy="55" level="32767">
      <extLst>
        <ext xmlns:x14="http://schemas.microsoft.com/office/spreadsheetml/2009/9/main" uri="{63CAB8AC-B538-458d-9737-405883B0398D}">
          <x14:cacheField ignore="1"/>
        </ext>
      </extLst>
    </cacheField>
  </cacheFields>
  <cacheHierarchies count="5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2"/>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oneField="1">
      <fieldsUsage count="1">
        <fieldUsage x="0"/>
      </fieldsUsage>
    </cacheHierarchy>
    <cacheHierarchy uniqueName="[Measures].[Total Actuals - Debt]" caption="Total Actuals - Debt" measure="1" displayFolder="" measureGroup="Transaction_tbl" count="0"/>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oneField="1">
      <fieldsUsage count="1">
        <fieldUsage x="1"/>
      </fieldsUsage>
    </cacheHierarchy>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y uniqueName="Unsupported0" caption="Date" measure="1" count="0">
      <extLst>
        <ext xmlns:x14="http://schemas.microsoft.com/office/spreadsheetml/2009/9/main" uri="{8CF416AD-EC4C-4aba-99F5-12A058AE0983}">
          <x14:cacheHierarchy ignore="1"/>
        </ext>
      </extLst>
    </cacheHierarchy>
    <cacheHierarchy uniqueName="Unsupported1" caption="Date" measure="1" count="0">
      <extLst>
        <ext xmlns:x14="http://schemas.microsoft.com/office/spreadsheetml/2009/9/main" uri="{8CF416AD-EC4C-4aba-99F5-12A058AE0983}">
          <x14:cacheHierarchy ignore="1"/>
        </ext>
      </extLst>
    </cacheHierarchy>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213480208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46296299" backgroundQuery="1" createdVersion="8" refreshedVersion="8" minRefreshableVersion="3" recordCount="0" supportSubquery="1" supportAdvancedDrill="1" xr:uid="{213ACADC-C3CF-4ABE-9D33-94489F0F7D56}">
  <cacheSource type="external" connectionId="10">
    <extLst>
      <ext xmlns:x14="http://schemas.microsoft.com/office/spreadsheetml/2009/9/main" uri="{F057638F-6D5F-4e77-A914-E7F072B9BCA8}">
        <x14:sourceConnection name="ThisWorkbookDataModel"/>
      </ext>
    </extLst>
  </cacheSource>
  <cacheFields count="3">
    <cacheField name="[Category_Sub].[Choice].[Choice]" caption="Choice" numFmtId="0" hierarchy="11" level="1">
      <sharedItems count="2">
        <s v="High Priority"/>
        <s v="Low Priority"/>
      </sharedItems>
      <extLst>
        <ext xmlns:x15="http://schemas.microsoft.com/office/spreadsheetml/2010/11/main" uri="{4F2E5C28-24EA-4eb8-9CBF-B6C8F9C3D259}">
          <x15:cachedUniqueNames>
            <x15:cachedUniqueName index="0" name="[Category_Sub].[Choice].&amp;[High Priority]"/>
            <x15:cachedUniqueName index="1" name="[Category_Sub].[Choice].&amp;[Low Priority]"/>
          </x15:cachedUniqueNames>
        </ext>
      </extLst>
    </cacheField>
    <cacheField name="[Measures].[Total Actuals - Debt]" caption="Total Actuals - Debt" numFmtId="0" hierarchy="32"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0" memberValueDatatype="130" unbalanced="0"/>
    <cacheHierarchy uniqueName="[Category_Sub].[Choice]" caption="Choice" attribute="1" defaultMemberUniqueName="[Category_Sub].[Choice].[All]" allUniqueName="[Category_Sub].[Choice].[All]" dimensionUniqueName="[Category_Sub]" displayFolder="" count="2" memberValueDatatype="130" unbalanced="0">
      <fieldsUsage count="2">
        <fieldUsage x="-1"/>
        <fieldUsage x="0"/>
      </fieldsUsage>
    </cacheHierarchy>
    <cacheHierarchy uniqueName="[Month_Sub].[Month]" caption="Month" attribute="1" defaultMemberUniqueName="[Month_Sub].[Month].[All]" allUniqueName="[Month_Sub].[Month].[All]" dimensionUniqueName="[Month_Sub]" displayFolder="" count="2" memberValueDatatype="130" unbalanced="0">
      <fieldsUsage count="2">
        <fieldUsage x="-1"/>
        <fieldUsage x="2"/>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1"/>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74860727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NIE TCHIGUI" refreshedDate="46051.594848148146" backgroundQuery="1" createdVersion="8" refreshedVersion="8" minRefreshableVersion="3" recordCount="0" supportSubquery="1" supportAdvancedDrill="1" xr:uid="{C41D6070-F0B8-442C-96EE-477ED0DD3F61}">
  <cacheSource type="external" connectionId="10">
    <extLst>
      <ext xmlns:x14="http://schemas.microsoft.com/office/spreadsheetml/2009/9/main" uri="{F057638F-6D5F-4e77-A914-E7F072B9BCA8}">
        <x14:sourceConnection name="ThisWorkbookDataModel"/>
      </ext>
    </extLst>
  </cacheSource>
  <cacheFields count="4">
    <cacheField name="[Category_Sub].[Subcategory].[Subcategory]" caption="Subcategory" numFmtId="0" hierarchy="10" level="1">
      <sharedItems count="2">
        <s v="Credit Card"/>
        <s v="Student Loan"/>
      </sharedItems>
      <extLst>
        <ext xmlns:x15="http://schemas.microsoft.com/office/spreadsheetml/2010/11/main" uri="{4F2E5C28-24EA-4eb8-9CBF-B6C8F9C3D259}">
          <x15:cachedUniqueNames>
            <x15:cachedUniqueName index="0" name="[Category_Sub].[Subcategory].&amp;[Credit Card]"/>
            <x15:cachedUniqueName index="1" name="[Category_Sub].[Subcategory].&amp;[Student Loan]"/>
          </x15:cachedUniqueNames>
        </ext>
      </extLst>
    </cacheField>
    <cacheField name="[Measures].[Total Actuals - Debt]" caption="Total Actuals - Debt" numFmtId="0" hierarchy="32" level="32767"/>
    <cacheField name="[Measures].[Total Budget - Debt]" caption="Total Budget - Debt" numFmtId="0" hierarchy="37" level="32767"/>
    <cacheField name="[Month_Sub].[Month].[Month]" caption="Month" numFmtId="0" hierarchy="12" level="1">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FullMonth]" caption="FullMonth" attribute="1" time="1" defaultMemberUniqueName="[Calendar].[FullMonth].[All]" allUniqueName="[Calendar].[Full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Month]" caption="Month" attribute="1" time="1" defaultMemberUniqueName="[Calendar].[Month].[All]" allUniqueName="[Calendar].[Month].[All]" dimensionUniqueName="[Calendar]" displayFolder="" count="0" memberValueDatatype="130" unbalanced="0"/>
    <cacheHierarchy uniqueName="[Category_Sub].[Category]" caption="Category" attribute="1" defaultMemberUniqueName="[Category_Sub].[Category].[All]" allUniqueName="[Category_Sub].[Category].[All]" dimensionUniqueName="[Category_Sub]" displayFolder="" count="0" memberValueDatatype="130" unbalanced="0"/>
    <cacheHierarchy uniqueName="[Category_Sub].[Subcategory]" caption="Subcategory" attribute="1" defaultMemberUniqueName="[Category_Sub].[Subcategory].[All]" allUniqueName="[Category_Sub].[Subcategory].[All]" dimensionUniqueName="[Category_Sub]" displayFolder="" count="2" memberValueDatatype="130" unbalanced="0">
      <fieldsUsage count="2">
        <fieldUsage x="-1"/>
        <fieldUsage x="0"/>
      </fieldsUsage>
    </cacheHierarchy>
    <cacheHierarchy uniqueName="[Category_Sub].[Choice]" caption="Choice" attribute="1" defaultMemberUniqueName="[Category_Sub].[Choice].[All]" allUniqueName="[Category_Sub].[Choice].[All]" dimensionUniqueName="[Category_Sub]" displayFolder="" count="0" memberValueDatatype="130" unbalanced="0"/>
    <cacheHierarchy uniqueName="[Month_Sub].[Month]" caption="Month" attribute="1" defaultMemberUniqueName="[Month_Sub].[Month].[All]" allUniqueName="[Month_Sub].[Month].[All]" dimensionUniqueName="[Month_Sub]" displayFolder="" count="2" memberValueDatatype="130" unbalanced="0">
      <fieldsUsage count="2">
        <fieldUsage x="-1"/>
        <fieldUsage x="3"/>
      </fieldsUsage>
    </cacheHierarchy>
    <cacheHierarchy uniqueName="[Month_Sub].[Month Number]" caption="Month Number" attribute="1" defaultMemberUniqueName="[Month_Sub].[Month Number].[All]" allUniqueName="[Month_Sub].[Month Number].[All]" dimensionUniqueName="[Month_Sub]" displayFolder="" count="0" memberValueDatatype="20" unbalanced="0"/>
    <cacheHierarchy uniqueName="[Month_Sub].[FullMonth]" caption="FullMonth" attribute="1" defaultMemberUniqueName="[Month_Sub].[FullMonth].[All]" allUniqueName="[Month_Sub].[FullMonth].[All]" dimensionUniqueName="[Month_Sub]" displayFolder="" count="0" memberValueDatatype="130" unbalanced="0"/>
    <cacheHierarchy uniqueName="[Piv_Merge].[Category]" caption="Category" attribute="1" defaultMemberUniqueName="[Piv_Merge].[Category].[All]" allUniqueName="[Piv_Merge].[Category].[All]" dimensionUniqueName="[Piv_Merge]" displayFolder="" count="0" memberValueDatatype="130" unbalanced="0"/>
    <cacheHierarchy uniqueName="[Piv_Merge].[Subcategory]" caption="Subcategory" attribute="1" defaultMemberUniqueName="[Piv_Merge].[Subcategory].[All]" allUniqueName="[Piv_Merge].[Subcategory].[All]" dimensionUniqueName="[Piv_Merge]" displayFolder="" count="0" memberValueDatatype="130" unbalanced="0"/>
    <cacheHierarchy uniqueName="[Piv_Merge].[Type?]" caption="Type?" attribute="1" defaultMemberUniqueName="[Piv_Merge].[Type?].[All]" allUniqueName="[Piv_Merge].[Type?].[All]" dimensionUniqueName="[Piv_Merge]" displayFolder="" count="0" memberValueDatatype="11" unbalanced="0"/>
    <cacheHierarchy uniqueName="[Piv_Merge].[Choice]" caption="Choice" attribute="1" defaultMemberUniqueName="[Piv_Merge].[Choice].[All]" allUniqueName="[Piv_Merge].[Choice].[All]" dimensionUniqueName="[Piv_Merge]" displayFolder="" count="0" memberValueDatatype="130" unbalanced="0"/>
    <cacheHierarchy uniqueName="[Piv_Merge].[Month]" caption="Month" attribute="1" defaultMemberUniqueName="[Piv_Merge].[Month].[All]" allUniqueName="[Piv_Merge].[Month].[All]" dimensionUniqueName="[Piv_Merge]" displayFolder="" count="0" memberValueDatatype="130" unbalanced="0"/>
    <cacheHierarchy uniqueName="[Piv_Merge].[Amount]" caption="Amount" attribute="1" defaultMemberUniqueName="[Piv_Merge].[Amount].[All]" allUniqueName="[Piv_Merge].[Amount].[All]" dimensionUniqueName="[Piv_Merge]" displayFolder="" count="0" memberValueDatatype="5" unbalanced="0"/>
    <cacheHierarchy uniqueName="[Transaction_tbl].[Date]" caption="Date" attribute="1" time="1" defaultMemberUniqueName="[Transaction_tbl].[Date].[All]" allUniqueName="[Transaction_tbl].[Date].[All]" dimensionUniqueName="[Transaction_tbl]" displayFolder="" count="0" memberValueDatatype="7" unbalanced="0"/>
    <cacheHierarchy uniqueName="[Transaction_tbl].[Category]" caption="Category" attribute="1" defaultMemberUniqueName="[Transaction_tbl].[Category].[All]" allUniqueName="[Transaction_tbl].[Category].[All]" dimensionUniqueName="[Transaction_tbl]" displayFolder="" count="0" memberValueDatatype="130" unbalanced="0"/>
    <cacheHierarchy uniqueName="[Transaction_tbl].[Subcategory]" caption="Subcategory" attribute="1" defaultMemberUniqueName="[Transaction_tbl].[Subcategory].[All]" allUniqueName="[Transaction_tbl].[Subcategory].[All]" dimensionUniqueName="[Transaction_tbl]" displayFolder="" count="0" memberValueDatatype="130" unbalanced="0"/>
    <cacheHierarchy uniqueName="[Transaction_tbl].[Amount]" caption="Amount" attribute="1" defaultMemberUniqueName="[Transaction_tbl].[Amount].[All]" allUniqueName="[Transaction_tbl].[Amount].[All]" dimensionUniqueName="[Transaction_tbl]" displayFolder="" count="0" memberValueDatatype="5" unbalanced="0"/>
    <cacheHierarchy uniqueName="[Transaction_tbl].[Comments]" caption="Comments" attribute="1" defaultMemberUniqueName="[Transaction_tbl].[Comments].[All]" allUniqueName="[Transaction_tbl].[Comments].[All]" dimensionUniqueName="[Transaction_tbl]" displayFolder="" count="0" memberValueDatatype="130" unbalanced="0"/>
    <cacheHierarchy uniqueName="[Measures].[Sum of Amount]" caption="Sum of Amount" measure="1" displayFolder="" measureGroup="Transaction_tbl" count="0">
      <extLst>
        <ext xmlns:x15="http://schemas.microsoft.com/office/spreadsheetml/2010/11/main" uri="{B97F6D7D-B522-45F9-BDA1-12C45D357490}">
          <x15:cacheHierarchy aggregatedColumn="24"/>
        </ext>
      </extLst>
    </cacheHierarchy>
    <cacheHierarchy uniqueName="[Measures].[Sum of Amount 2]" caption="Sum of Amount 2" measure="1" displayFolder="" measureGroup="Piv_Merge" count="0">
      <extLst>
        <ext xmlns:x15="http://schemas.microsoft.com/office/spreadsheetml/2010/11/main" uri="{B97F6D7D-B522-45F9-BDA1-12C45D357490}">
          <x15:cacheHierarchy aggregatedColumn="20"/>
        </ext>
      </extLst>
    </cacheHierarchy>
    <cacheHierarchy uniqueName="[Measures].[Sum of Month Number]" caption="Sum of Month Number" measure="1" displayFolder="" measureGroup="Month_Sub" count="0">
      <extLst>
        <ext xmlns:x15="http://schemas.microsoft.com/office/spreadsheetml/2010/11/main" uri="{B97F6D7D-B522-45F9-BDA1-12C45D357490}">
          <x15:cacheHierarchy aggregatedColumn="13"/>
        </ext>
      </extLst>
    </cacheHierarchy>
    <cacheHierarchy uniqueName="[Measures].[Total Actuals]" caption="Total Actuals" measure="1" displayFolder="" measureGroup="Transaction_tbl" count="0"/>
    <cacheHierarchy uniqueName="[Measures].[Total Actuals - Income]" caption="Total Actuals - Income" measure="1" displayFolder="" measureGroup="Transaction_tbl" count="0"/>
    <cacheHierarchy uniqueName="[Measures].[Total Actuals - Expenses]" caption="Total Actuals - Expenses" measure="1" displayFolder="" measureGroup="Transaction_tbl" count="0"/>
    <cacheHierarchy uniqueName="[Measures].[Total Actuals - Debt]" caption="Total Actuals - Debt" measure="1" displayFolder="" measureGroup="Transaction_tbl" count="0" oneField="1">
      <fieldsUsage count="1">
        <fieldUsage x="1"/>
      </fieldsUsage>
    </cacheHierarchy>
    <cacheHierarchy uniqueName="[Measures].[Total Actuals - Sav &amp; Inv]" caption="Total Actuals - Sav &amp; Inv" measure="1" displayFolder="" measureGroup="Transaction_tbl" count="0"/>
    <cacheHierarchy uniqueName="[Measures].[Total Budget]" caption="Total Budget" measure="1" displayFolder="" measureGroup="Piv_Merge" count="0"/>
    <cacheHierarchy uniqueName="[Measures].[Total Budget - Income]" caption="Total Budget - Income" measure="1" displayFolder="" measureGroup="Piv_Merge" count="0"/>
    <cacheHierarchy uniqueName="[Measures].[Total Budget - Expenses]" caption="Total Budget - Expenses" measure="1" displayFolder="" measureGroup="Piv_Merge" count="0"/>
    <cacheHierarchy uniqueName="[Measures].[Total Budget - Debt]" caption="Total Budget - Debt" measure="1" displayFolder="" measureGroup="Piv_Merge" count="0" oneField="1">
      <fieldsUsage count="1">
        <fieldUsage x="2"/>
      </fieldsUsage>
    </cacheHierarchy>
    <cacheHierarchy uniqueName="[Measures].[Total Budget - Sav &amp; Inv]" caption="Total Budget - Sav &amp; Inv" measure="1" displayFolder="" measureGroup="Piv_Merge" count="0"/>
    <cacheHierarchy uniqueName="[Measures].[Difference - Income]" caption="Difference - Income" measure="1" displayFolder="" measureGroup="Transaction_tbl" count="0"/>
    <cacheHierarchy uniqueName="[Measures].[Difference - Expense]" caption="Difference - Expense" measure="1" displayFolder="" measureGroup="Transaction_tbl" count="0"/>
    <cacheHierarchy uniqueName="[Measures].[Difference - Debt]" caption="Difference - Debt" measure="1" displayFolder="" measureGroup="Transaction_tbl" count="0"/>
    <cacheHierarchy uniqueName="[Measures].[Difference - Sav &amp; Inv]" caption="Difference - Sav &amp; Inv" measure="1" displayFolder="" measureGroup="Transaction_tbl" count="0"/>
    <cacheHierarchy uniqueName="[Measures].[A/B_Income]" caption="A/B_Income" measure="1" displayFolder="" measureGroup="Piv_Merge" count="0"/>
    <cacheHierarchy uniqueName="[Measures].[A/B_Expenses]" caption="A/B_Expenses" measure="1" displayFolder="" measureGroup="Piv_Merge" count="0"/>
    <cacheHierarchy uniqueName="[Measures].[A/B_Debt]" caption="A/B_Debt" measure="1" displayFolder="" measureGroup="Piv_Merge" count="0"/>
    <cacheHierarchy uniqueName="[Measures].[A/B_Sav &amp; Inv]" caption="A/B_Sav &amp; Inv" measure="1" displayFolder="" measureGroup="Piv_Merge" count="0"/>
    <cacheHierarchy uniqueName="[Measures].[SlicerSelection]" caption="SlicerSelection" measure="1" displayFolder="" measureGroup="Piv_Merge" count="0"/>
    <cacheHierarchy uniqueName="[Measures].[__XL_Count Piv_Merge]" caption="__XL_Count Piv_Merge" measure="1" displayFolder="" measureGroup="Piv_Merge" count="0" hidden="1"/>
    <cacheHierarchy uniqueName="[Measures].[__XL_Count Transaction_tbl]" caption="__XL_Count Transaction_tbl" measure="1" displayFolder="" measureGroup="Transaction_tbl" count="0" hidden="1"/>
    <cacheHierarchy uniqueName="[Measures].[__XL_Count Calendar]" caption="__XL_Count Calendar" measure="1" displayFolder="" measureGroup="Calendar" count="0" hidden="1"/>
    <cacheHierarchy uniqueName="[Measures].[__XL_Count Category_Sub]" caption="__XL_Count Category_Sub" measure="1" displayFolder="" measureGroup="Category_Sub" count="0" hidden="1"/>
    <cacheHierarchy uniqueName="[Measures].[__XL_Count Month_Sub]" caption="__XL_Count Month_Sub" measure="1" displayFolder="" measureGroup="Month_Sub" count="0" hidden="1"/>
    <cacheHierarchy uniqueName="[Measures].[__No measures defined]" caption="__No measures defined" measure="1" displayFolder="" count="0" hidden="1"/>
  </cacheHierarchies>
  <kpis count="0"/>
  <dimensions count="6">
    <dimension name="Calendar" uniqueName="[Calendar]" caption="Calendar"/>
    <dimension name="Category_Sub" uniqueName="[Category_Sub]" caption="Category_Sub"/>
    <dimension measure="1" name="Measures" uniqueName="[Measures]" caption="Measures"/>
    <dimension name="Month_Sub" uniqueName="[Month_Sub]" caption="Month_Sub"/>
    <dimension name="Piv_Merge" uniqueName="[Piv_Merge]" caption="Piv_Merge"/>
    <dimension name="Transaction_tbl" uniqueName="[Transaction_tbl]" caption="Transaction_tbl"/>
  </dimensions>
  <measureGroups count="5">
    <measureGroup name="Calendar" caption="Calendar"/>
    <measureGroup name="Category_Sub" caption="Category_Sub"/>
    <measureGroup name="Month_Sub" caption="Month_Sub"/>
    <measureGroup name="Piv_Merge" caption="Piv_Merge"/>
    <measureGroup name="Transaction_tbl" caption="Transaction_tbl"/>
  </measureGroups>
  <maps count="11">
    <map measureGroup="0" dimension="0"/>
    <map measureGroup="0" dimension="3"/>
    <map measureGroup="1" dimension="1"/>
    <map measureGroup="2" dimension="3"/>
    <map measureGroup="3" dimension="1"/>
    <map measureGroup="3" dimension="3"/>
    <map measureGroup="3" dimension="4"/>
    <map measureGroup="4" dimension="0"/>
    <map measureGroup="4" dimension="1"/>
    <map measureGroup="4" dimension="3"/>
    <map measureGroup="4" dimension="5"/>
  </maps>
  <extLst>
    <ext xmlns:x14="http://schemas.microsoft.com/office/spreadsheetml/2009/9/main" uri="{725AE2AE-9491-48be-B2B4-4EB974FC3084}">
      <x14:pivotCacheDefinition pivotCacheId="68093771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7CC80C-08FB-4234-9EAD-238275CE8351}" name="PivotChartTable7" cacheId="6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1:B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3" columnCount="1" cacheId="209683702">
        <x15:pivotRow count="1">
          <x15:c>
            <x15:v>1250</x15:v>
            <x15:x in="0"/>
          </x15:c>
        </x15:pivotRow>
        <x15:pivotRow count="1">
          <x15:c>
            <x15:v>587</x15:v>
            <x15:x in="0"/>
          </x15:c>
        </x15:pivotRow>
        <x15:pivotRow count="1">
          <x15:c>
            <x15:v>1837</x15:v>
            <x15:x in="0"/>
          </x15:c>
        </x15:pivotRow>
      </x15:pivotTableData>
    </ext>
    <ext xmlns:x15="http://schemas.microsoft.com/office/spreadsheetml/2010/11/main" uri="{E67621CE-5B39-4880-91FE-76760E9C1902}">
      <x15:pivotTableUISettings>
        <x15:activeTabTopLevelEntity name="[Category_Sub]"/>
        <x15:activeTabTopLevelEntity name="[Transaction_tb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6DDC49-2941-4DD1-9E30-D9E3DD28D8DA}" name="PivotChartTable2" cacheId="6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8">
  <location ref="A1:E14"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fld="0" subtotal="count" baseField="0" baseItem="0"/>
    <dataField fld="1" subtotal="count" baseField="0" baseItem="0"/>
    <dataField name="Total Budget - Expenses2" fld="3" subtotal="count" baseField="0" baseItem="0">
      <extLst>
        <ext xmlns:x14="http://schemas.microsoft.com/office/spreadsheetml/2009/9/main" uri="{E15A36E0-9728-4e99-A89B-3F7291B0FE68}">
          <x14:dataField sourceField="1" uniqueName="[__Xl2].[Measures].[Total Budget - Expenses]"/>
        </ext>
      </extLst>
    </dataField>
    <dataField name="Total Actuals - Expenses2" fld="4" subtotal="count" baseField="0" baseItem="0">
      <extLst>
        <ext xmlns:x14="http://schemas.microsoft.com/office/spreadsheetml/2009/9/main" uri="{E15A36E0-9728-4e99-A89B-3F7291B0FE68}">
          <x14:dataField sourceField="0" uniqueName="[__Xl2].[Measures].[Total Actuals - Expenses]"/>
        </ext>
      </extLst>
    </dataField>
  </dataFields>
  <chartFormats count="3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2">
          <reference field="4294967294" count="1" selected="0">
            <x v="1"/>
          </reference>
          <reference field="2" count="1" selected="0">
            <x v="1"/>
          </reference>
        </references>
      </pivotArea>
    </chartFormat>
    <chartFormat chart="0" format="5" series="1">
      <pivotArea type="data" outline="0" fieldPosition="0">
        <references count="2">
          <reference field="4294967294" count="1" selected="0">
            <x v="1"/>
          </reference>
          <reference field="2" count="1" selected="0">
            <x v="2"/>
          </reference>
        </references>
      </pivotArea>
    </chartFormat>
    <chartFormat chart="0" format="6" series="1">
      <pivotArea type="data" outline="0" fieldPosition="0">
        <references count="2">
          <reference field="4294967294" count="1" selected="0">
            <x v="1"/>
          </reference>
          <reference field="2" count="1" selected="0">
            <x v="3"/>
          </reference>
        </references>
      </pivotArea>
    </chartFormat>
    <chartFormat chart="0" format="7" series="1">
      <pivotArea type="data" outline="0" fieldPosition="0">
        <references count="2">
          <reference field="4294967294" count="1" selected="0">
            <x v="1"/>
          </reference>
          <reference field="2" count="1" selected="0">
            <x v="4"/>
          </reference>
        </references>
      </pivotArea>
    </chartFormat>
    <chartFormat chart="0" format="8" series="1">
      <pivotArea type="data" outline="0" fieldPosition="0">
        <references count="2">
          <reference field="4294967294" count="1" selected="0">
            <x v="1"/>
          </reference>
          <reference field="2" count="1" selected="0">
            <x v="5"/>
          </reference>
        </references>
      </pivotArea>
    </chartFormat>
    <chartFormat chart="0" format="9" series="1">
      <pivotArea type="data" outline="0" fieldPosition="0">
        <references count="2">
          <reference field="4294967294" count="1" selected="0">
            <x v="1"/>
          </reference>
          <reference field="2" count="1" selected="0">
            <x v="6"/>
          </reference>
        </references>
      </pivotArea>
    </chartFormat>
    <chartFormat chart="0" format="10" series="1">
      <pivotArea type="data" outline="0" fieldPosition="0">
        <references count="2">
          <reference field="4294967294" count="1" selected="0">
            <x v="1"/>
          </reference>
          <reference field="2" count="1" selected="0">
            <x v="7"/>
          </reference>
        </references>
      </pivotArea>
    </chartFormat>
    <chartFormat chart="0" format="11" series="1">
      <pivotArea type="data" outline="0" fieldPosition="0">
        <references count="2">
          <reference field="4294967294" count="1" selected="0">
            <x v="1"/>
          </reference>
          <reference field="2" count="1" selected="0">
            <x v="8"/>
          </reference>
        </references>
      </pivotArea>
    </chartFormat>
    <chartFormat chart="0" format="12" series="1">
      <pivotArea type="data" outline="0" fieldPosition="0">
        <references count="2">
          <reference field="4294967294" count="1" selected="0">
            <x v="1"/>
          </reference>
          <reference field="2" count="1" selected="0">
            <x v="9"/>
          </reference>
        </references>
      </pivotArea>
    </chartFormat>
    <chartFormat chart="0" format="13" series="1">
      <pivotArea type="data" outline="0" fieldPosition="0">
        <references count="2">
          <reference field="4294967294" count="1" selected="0">
            <x v="1"/>
          </reference>
          <reference field="2" count="1" selected="0">
            <x v="10"/>
          </reference>
        </references>
      </pivotArea>
    </chartFormat>
    <chartFormat chart="0" format="14" series="1">
      <pivotArea type="data" outline="0" fieldPosition="0">
        <references count="2">
          <reference field="4294967294" count="1" selected="0">
            <x v="1"/>
          </reference>
          <reference field="2" count="1" selected="0">
            <x v="11"/>
          </reference>
        </references>
      </pivotArea>
    </chartFormat>
    <chartFormat chart="0" format="15" series="1">
      <pivotArea type="data" outline="0" fieldPosition="0">
        <references count="2">
          <reference field="4294967294" count="1" selected="0">
            <x v="2"/>
          </reference>
          <reference field="2" count="1" selected="0">
            <x v="0"/>
          </reference>
        </references>
      </pivotArea>
    </chartFormat>
    <chartFormat chart="0" format="16" series="1">
      <pivotArea type="data" outline="0" fieldPosition="0">
        <references count="2">
          <reference field="4294967294" count="1" selected="0">
            <x v="2"/>
          </reference>
          <reference field="2" count="1" selected="0">
            <x v="1"/>
          </reference>
        </references>
      </pivotArea>
    </chartFormat>
    <chartFormat chart="0" format="17" series="1">
      <pivotArea type="data" outline="0" fieldPosition="0">
        <references count="2">
          <reference field="4294967294" count="1" selected="0">
            <x v="2"/>
          </reference>
          <reference field="2" count="1" selected="0">
            <x v="2"/>
          </reference>
        </references>
      </pivotArea>
    </chartFormat>
    <chartFormat chart="0" format="18" series="1">
      <pivotArea type="data" outline="0" fieldPosition="0">
        <references count="2">
          <reference field="4294967294" count="1" selected="0">
            <x v="2"/>
          </reference>
          <reference field="2" count="1" selected="0">
            <x v="3"/>
          </reference>
        </references>
      </pivotArea>
    </chartFormat>
    <chartFormat chart="0" format="19" series="1">
      <pivotArea type="data" outline="0" fieldPosition="0">
        <references count="2">
          <reference field="4294967294" count="1" selected="0">
            <x v="2"/>
          </reference>
          <reference field="2" count="1" selected="0">
            <x v="4"/>
          </reference>
        </references>
      </pivotArea>
    </chartFormat>
    <chartFormat chart="0" format="20" series="1">
      <pivotArea type="data" outline="0" fieldPosition="0">
        <references count="2">
          <reference field="4294967294" count="1" selected="0">
            <x v="2"/>
          </reference>
          <reference field="2" count="1" selected="0">
            <x v="5"/>
          </reference>
        </references>
      </pivotArea>
    </chartFormat>
    <chartFormat chart="0" format="21" series="1">
      <pivotArea type="data" outline="0" fieldPosition="0">
        <references count="2">
          <reference field="4294967294" count="1" selected="0">
            <x v="2"/>
          </reference>
          <reference field="2" count="1" selected="0">
            <x v="6"/>
          </reference>
        </references>
      </pivotArea>
    </chartFormat>
    <chartFormat chart="0" format="22" series="1">
      <pivotArea type="data" outline="0" fieldPosition="0">
        <references count="2">
          <reference field="4294967294" count="1" selected="0">
            <x v="2"/>
          </reference>
          <reference field="2" count="1" selected="0">
            <x v="7"/>
          </reference>
        </references>
      </pivotArea>
    </chartFormat>
    <chartFormat chart="0" format="23" series="1">
      <pivotArea type="data" outline="0" fieldPosition="0">
        <references count="2">
          <reference field="4294967294" count="1" selected="0">
            <x v="2"/>
          </reference>
          <reference field="2" count="1" selected="0">
            <x v="8"/>
          </reference>
        </references>
      </pivotArea>
    </chartFormat>
    <chartFormat chart="0" format="24" series="1">
      <pivotArea type="data" outline="0" fieldPosition="0">
        <references count="2">
          <reference field="4294967294" count="1" selected="0">
            <x v="2"/>
          </reference>
          <reference field="2" count="1" selected="0">
            <x v="9"/>
          </reference>
        </references>
      </pivotArea>
    </chartFormat>
    <chartFormat chart="0" format="25" series="1">
      <pivotArea type="data" outline="0" fieldPosition="0">
        <references count="2">
          <reference field="4294967294" count="1" selected="0">
            <x v="2"/>
          </reference>
          <reference field="2" count="1" selected="0">
            <x v="10"/>
          </reference>
        </references>
      </pivotArea>
    </chartFormat>
    <chartFormat chart="0" format="26" series="1">
      <pivotArea type="data" outline="0" fieldPosition="0">
        <references count="2">
          <reference field="4294967294" count="1" selected="0">
            <x v="2"/>
          </reference>
          <reference field="2" count="1" selected="0">
            <x v="11"/>
          </reference>
        </references>
      </pivotArea>
    </chartFormat>
    <chartFormat chart="0" format="27" series="1">
      <pivotArea type="data" outline="0" fieldPosition="0">
        <references count="2">
          <reference field="4294967294" count="1" selected="0">
            <x v="3"/>
          </reference>
          <reference field="2" count="1" selected="0">
            <x v="9"/>
          </reference>
        </references>
      </pivotArea>
    </chartFormat>
    <chartFormat chart="0" format="28" series="1">
      <pivotArea type="data" outline="0" fieldPosition="0">
        <references count="2">
          <reference field="4294967294" count="1" selected="0">
            <x v="3"/>
          </reference>
          <reference field="2" count="1" selected="0">
            <x v="10"/>
          </reference>
        </references>
      </pivotArea>
    </chartFormat>
    <chartFormat chart="0" format="29" series="1">
      <pivotArea type="data" outline="0" fieldPosition="0">
        <references count="2">
          <reference field="4294967294" count="1" selected="0">
            <x v="3"/>
          </reference>
          <reference field="2" count="1" selected="0">
            <x v="11"/>
          </reference>
        </references>
      </pivotArea>
    </chartFormat>
  </chartFormats>
  <pivotHierarchies count="5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4" cacheId="2134802082">
        <x15:pivotRow count="4">
          <x15:c>
            <x15:v>1741</x15:v>
            <x15:x in="0"/>
          </x15:c>
          <x15:c>
            <x15:v>883</x15:v>
            <x15:x in="0"/>
          </x15:c>
          <x15:c>
            <x15:v>883</x15:v>
            <x15:x in="0"/>
          </x15:c>
          <x15:c>
            <x15:v>1741</x15:v>
            <x15:x in="0"/>
          </x15:c>
        </x15:pivotRow>
        <x15:pivotRow count="4">
          <x15:c>
            <x15:v>690</x15:v>
            <x15:x in="0"/>
          </x15:c>
          <x15:c>
            <x15:v>886</x15:v>
            <x15:x in="0"/>
          </x15:c>
          <x15:c>
            <x15:v>886</x15:v>
            <x15:x in="0"/>
          </x15:c>
          <x15:c>
            <x15:v>690</x15:v>
            <x15:x in="0"/>
          </x15:c>
        </x15:pivotRow>
        <x15:pivotRow count="4">
          <x15:c>
            <x15:v>750</x15:v>
            <x15:x in="0"/>
          </x15:c>
          <x15:c>
            <x15:v>893</x15:v>
            <x15:x in="0"/>
          </x15:c>
          <x15:c>
            <x15:v>893</x15:v>
            <x15:x in="0"/>
          </x15:c>
          <x15:c>
            <x15:v>750</x15:v>
            <x15:x in="0"/>
          </x15:c>
        </x15:pivotRow>
        <x15:pivotRow count="4">
          <x15:c>
            <x15:v>699</x15:v>
            <x15:x in="0"/>
          </x15:c>
          <x15:c>
            <x15:v>886</x15:v>
            <x15:x in="0"/>
          </x15:c>
          <x15:c>
            <x15:v>886</x15:v>
            <x15:x in="0"/>
          </x15:c>
          <x15:c>
            <x15:v>699</x15:v>
            <x15:x in="0"/>
          </x15:c>
        </x15:pivotRow>
        <x15:pivotRow count="4">
          <x15:c>
            <x15:v>740</x15:v>
            <x15:x in="0"/>
          </x15:c>
          <x15:c>
            <x15:v>878</x15:v>
            <x15:x in="0"/>
          </x15:c>
          <x15:c>
            <x15:v>878</x15:v>
            <x15:x in="0"/>
          </x15:c>
          <x15:c>
            <x15:v>740</x15:v>
            <x15:x in="0"/>
          </x15:c>
        </x15:pivotRow>
        <x15:pivotRow count="4">
          <x15:c>
            <x15:v>765</x15:v>
            <x15:x in="0"/>
          </x15:c>
          <x15:c>
            <x15:v>878</x15:v>
            <x15:x in="0"/>
          </x15:c>
          <x15:c>
            <x15:v>878</x15:v>
            <x15:x in="0"/>
          </x15:c>
          <x15:c>
            <x15:v>765</x15:v>
            <x15:x in="0"/>
          </x15:c>
        </x15:pivotRow>
        <x15:pivotRow count="4">
          <x15:c>
            <x15:v>675</x15:v>
            <x15:x in="0"/>
          </x15:c>
          <x15:c>
            <x15:v>878</x15:v>
            <x15:x in="0"/>
          </x15:c>
          <x15:c>
            <x15:v>878</x15:v>
            <x15:x in="0"/>
          </x15:c>
          <x15:c>
            <x15:v>675</x15:v>
            <x15:x in="0"/>
          </x15:c>
        </x15:pivotRow>
        <x15:pivotRow count="4">
          <x15:c>
            <x15:v>660</x15:v>
            <x15:x in="0"/>
          </x15:c>
          <x15:c>
            <x15:v>878</x15:v>
            <x15:x in="0"/>
          </x15:c>
          <x15:c>
            <x15:v>878</x15:v>
            <x15:x in="0"/>
          </x15:c>
          <x15:c>
            <x15:v>660</x15:v>
            <x15:x in="0"/>
          </x15:c>
        </x15:pivotRow>
        <x15:pivotRow count="4">
          <x15:c>
            <x15:v>720</x15:v>
            <x15:x in="0"/>
          </x15:c>
          <x15:c>
            <x15:v>878</x15:v>
            <x15:x in="0"/>
          </x15:c>
          <x15:c>
            <x15:v>878</x15:v>
            <x15:x in="0"/>
          </x15:c>
          <x15:c>
            <x15:v>720</x15:v>
            <x15:x in="0"/>
          </x15:c>
        </x15:pivotRow>
        <x15:pivotRow count="4">
          <x15:c>
            <x15:v>555</x15:v>
            <x15:x in="0"/>
          </x15:c>
          <x15:c>
            <x15:v>878</x15:v>
            <x15:x in="0"/>
          </x15:c>
          <x15:c>
            <x15:v>878</x15:v>
            <x15:x in="0"/>
          </x15:c>
          <x15:c>
            <x15:v>555</x15:v>
            <x15:x in="0"/>
          </x15:c>
        </x15:pivotRow>
        <x15:pivotRow count="4">
          <x15:c>
            <x15:v>575</x15:v>
            <x15:x in="0"/>
          </x15:c>
          <x15:c>
            <x15:v>878</x15:v>
            <x15:x in="0"/>
          </x15:c>
          <x15:c>
            <x15:v>878</x15:v>
            <x15:x in="0"/>
          </x15:c>
          <x15:c>
            <x15:v>575</x15:v>
            <x15:x in="0"/>
          </x15:c>
        </x15:pivotRow>
        <x15:pivotRow count="4">
          <x15:c>
            <x15:v>795</x15:v>
            <x15:x in="0"/>
          </x15:c>
          <x15:c>
            <x15:v>878</x15:v>
            <x15:x in="0"/>
          </x15:c>
          <x15:c>
            <x15:v>878</x15:v>
            <x15:x in="0"/>
          </x15:c>
          <x15:c>
            <x15:v>795</x15:v>
            <x15:x in="0"/>
          </x15:c>
        </x15:pivotRow>
        <x15:pivotRow count="4">
          <x15:c>
            <x15:v>9365</x15:v>
            <x15:x in="0"/>
          </x15:c>
          <x15:c>
            <x15:v>10572</x15:v>
            <x15:x in="0"/>
          </x15:c>
          <x15:c>
            <x15:v>10572</x15:v>
            <x15:x in="0"/>
          </x15:c>
          <x15:c>
            <x15:v>9365</x15:v>
            <x15:x in="0"/>
          </x15:c>
        </x15:pivotRow>
      </x15:pivotTableData>
    </ext>
    <ext xmlns:x15="http://schemas.microsoft.com/office/spreadsheetml/2010/11/main" uri="{E67621CE-5B39-4880-91FE-76760E9C1902}">
      <x15:pivotTableUISettings>
        <x15:activeTabTopLevelEntity name="[Month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532B13-8541-4B2B-868D-F755DD75DE90}" name="PivotChartTable4" cacheId="6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0">
  <location ref="A1:C4" firstHeaderRow="0"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2">
    <i>
      <x/>
    </i>
    <i i="1">
      <x v="1"/>
    </i>
  </colItems>
  <dataFields count="2">
    <dataField fld="2" subtotal="count" baseField="0" baseItem="0"/>
    <dataField fld="1" subtotal="count" baseField="0" baseItem="0"/>
  </dataFields>
  <chartFormats count="2">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3" columnCount="2" cacheId="680937716">
        <x15:pivotRow count="2">
          <x15:c>
            <x15:v>180</x15:v>
            <x15:x in="0"/>
          </x15:c>
          <x15:c>
            <x15:v>80</x15:v>
            <x15:x in="0"/>
          </x15:c>
        </x15:pivotRow>
        <x15:pivotRow count="2">
          <x15:c>
            <x15:v>960</x15:v>
            <x15:x in="0"/>
          </x15:c>
          <x15:c>
            <x15:v>2160</x15:v>
            <x15:x in="0"/>
          </x15:c>
        </x15:pivotRow>
        <x15:pivotRow count="2">
          <x15:c>
            <x15:v>1140</x15:v>
            <x15:x in="0"/>
          </x15:c>
          <x15:c>
            <x15:v>2240</x15:v>
            <x15:x in="0"/>
          </x15:c>
        </x15:pivotRow>
      </x15:pivotTableData>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BFED93B-C759-440E-B659-8CDBD01903F4}" name="PivotChartTable5" cacheId="61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1:B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3" columnCount="1" cacheId="748607271">
        <x15:pivotRow count="1">
          <x15:c>
            <x15:v>2160</x15:v>
            <x15:x in="0"/>
          </x15:c>
        </x15:pivotRow>
        <x15:pivotRow count="1">
          <x15:c>
            <x15:v>80</x15:v>
            <x15:x in="0"/>
          </x15:c>
        </x15:pivotRow>
        <x15:pivotRow count="1">
          <x15:c>
            <x15:v>2240</x15:v>
            <x15:x in="0"/>
          </x15:c>
        </x15:pivotRow>
      </x15:pivotTableData>
    </ext>
    <ext xmlns:x15="http://schemas.microsoft.com/office/spreadsheetml/2010/11/main" uri="{E67621CE-5B39-4880-91FE-76760E9C1902}">
      <x15:pivotTableUISettings>
        <x15:activeTabTopLevelEntity name="[Category_Sub]"/>
        <x15:activeTabTopLevelEntity name="[Transaction_tbl]"/>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A8D6B9-98E7-43D2-AAA7-A14F3529CDC8}" name="PivotChartTable8" cacheId="6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1:D14" firstHeaderRow="1" firstDataRow="2" firstDataCol="1"/>
  <pivotFields count="4">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2"/>
  </rowFields>
  <rowItems count="12">
    <i>
      <x/>
    </i>
    <i>
      <x v="1"/>
    </i>
    <i>
      <x v="2"/>
    </i>
    <i>
      <x v="3"/>
    </i>
    <i>
      <x v="4"/>
    </i>
    <i>
      <x v="5"/>
    </i>
    <i>
      <x v="6"/>
    </i>
    <i>
      <x v="7"/>
    </i>
    <i>
      <x v="8"/>
    </i>
    <i>
      <x v="9"/>
    </i>
    <i>
      <x v="10"/>
    </i>
    <i t="grand">
      <x/>
    </i>
  </rowItems>
  <colFields count="1">
    <field x="0"/>
  </colFields>
  <colItems count="3">
    <i>
      <x/>
    </i>
    <i>
      <x v="1"/>
    </i>
    <i t="grand">
      <x/>
    </i>
  </colItems>
  <dataFields count="1">
    <dataField fld="1" subtotal="count" baseField="0" baseItem="0"/>
  </dataFields>
  <chartFormats count="3">
    <chartFormat chart="0" format="12"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0" count="1" selected="0">
            <x v="0"/>
          </reference>
        </references>
      </pivotArea>
    </chartFormat>
    <chartFormat chart="0" format="14" series="1">
      <pivotArea type="data" outline="0" fieldPosition="0">
        <references count="2">
          <reference field="4294967294" count="1" selected="0">
            <x v="0"/>
          </reference>
          <reference field="0"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2" columnCount="3" cacheId="1543655512">
        <x15:pivotRow count="3">
          <x15:c>
            <x15:v>550</x15:v>
            <x15:x in="0"/>
          </x15:c>
          <x15:c t="e">
            <x15:v/>
            <x15:x in="0"/>
          </x15:c>
          <x15:c>
            <x15:v>550</x15:v>
            <x15:x in="0"/>
          </x15:c>
        </x15:pivotRow>
        <x15:pivotRow count="3">
          <x15:c>
            <x15:v>100</x15:v>
            <x15:x in="0"/>
          </x15:c>
          <x15:c t="e">
            <x15:v/>
            <x15:x in="0"/>
          </x15:c>
          <x15:c>
            <x15:v>100</x15:v>
            <x15:x in="0"/>
          </x15:c>
        </x15:pivotRow>
        <x15:pivotRow count="3">
          <x15:c>
            <x15:v>50</x15:v>
            <x15:x in="0"/>
          </x15:c>
          <x15:c t="e">
            <x15:v/>
            <x15:x in="0"/>
          </x15:c>
          <x15:c>
            <x15:v>50</x15:v>
            <x15:x in="0"/>
          </x15:c>
        </x15:pivotRow>
        <x15:pivotRow count="3">
          <x15:c t="e">
            <x15:v/>
            <x15:x in="0"/>
          </x15:c>
          <x15:c>
            <x15:v>40</x15:v>
            <x15:x in="0"/>
          </x15:c>
          <x15:c>
            <x15:v>40</x15:v>
            <x15:x in="0"/>
          </x15:c>
        </x15:pivotRow>
        <x15:pivotRow count="3">
          <x15:c>
            <x15:v>200</x15:v>
            <x15:x in="0"/>
          </x15:c>
          <x15:c t="e">
            <x15:v/>
            <x15:x in="0"/>
          </x15:c>
          <x15:c>
            <x15:v>200</x15:v>
            <x15:x in="0"/>
          </x15:c>
        </x15:pivotRow>
        <x15:pivotRow count="3">
          <x15:c t="e">
            <x15:v/>
            <x15:x in="0"/>
          </x15:c>
          <x15:c>
            <x15:v>150</x15:v>
            <x15:x in="0"/>
          </x15:c>
          <x15:c>
            <x15:v>150</x15:v>
            <x15:x in="0"/>
          </x15:c>
        </x15:pivotRow>
        <x15:pivotRow count="3">
          <x15:c t="e">
            <x15:v/>
            <x15:x in="0"/>
          </x15:c>
          <x15:c>
            <x15:v>120</x15:v>
            <x15:x in="0"/>
          </x15:c>
          <x15:c>
            <x15:v>120</x15:v>
            <x15:x in="0"/>
          </x15:c>
        </x15:pivotRow>
        <x15:pivotRow count="3">
          <x15:c>
            <x15:v>100</x15:v>
            <x15:x in="0"/>
          </x15:c>
          <x15:c t="e">
            <x15:v/>
            <x15:x in="0"/>
          </x15:c>
          <x15:c>
            <x15:v>100</x15:v>
            <x15:x in="0"/>
          </x15:c>
        </x15:pivotRow>
        <x15:pivotRow count="3">
          <x15:c>
            <x15:v>100</x15:v>
            <x15:x in="0"/>
          </x15:c>
          <x15:c t="e">
            <x15:v/>
            <x15:x in="0"/>
          </x15:c>
          <x15:c>
            <x15:v>100</x15:v>
            <x15:x in="0"/>
          </x15:c>
        </x15:pivotRow>
        <x15:pivotRow count="3">
          <x15:c>
            <x15:v>50</x15:v>
            <x15:x in="0"/>
          </x15:c>
          <x15:c t="e">
            <x15:v/>
            <x15:x in="0"/>
          </x15:c>
          <x15:c>
            <x15:v>50</x15:v>
            <x15:x in="0"/>
          </x15:c>
        </x15:pivotRow>
        <x15:pivotRow count="3">
          <x15:c>
            <x15:v>100</x15:v>
            <x15:x in="0"/>
          </x15:c>
          <x15:c>
            <x15:v>277</x15:v>
            <x15:x in="0"/>
          </x15:c>
          <x15:c>
            <x15:v>377</x15:v>
            <x15:x in="0"/>
          </x15:c>
        </x15:pivotRow>
        <x15:pivotRow count="3">
          <x15:c>
            <x15:v>1250</x15:v>
            <x15:x in="0"/>
          </x15:c>
          <x15:c>
            <x15:v>587</x15:v>
            <x15:x in="0"/>
          </x15:c>
          <x15:c>
            <x15:v>1837</x15:v>
            <x15:x in="0"/>
          </x15:c>
        </x15:pivotRow>
      </x15:pivotTableData>
    </ext>
    <ext xmlns:x15="http://schemas.microsoft.com/office/spreadsheetml/2010/11/main" uri="{E67621CE-5B39-4880-91FE-76760E9C1902}">
      <x15:pivotTableUISettings>
        <x15:activeTabTopLevelEntity name="[Calendar]"/>
        <x15:activeTabTopLevelEntity name="[Category_Sub]"/>
        <x15:activeTabTopLevelEntity name="[Transaction_tb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6E03DE3-055B-46A6-A8C2-31AE1D28FFC5}" name="PivotChartTable9" cacheId="60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A1:D8" firstHeaderRow="1" firstDataRow="2"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3">
    <i>
      <x/>
    </i>
    <i>
      <x v="1"/>
    </i>
    <i t="grand">
      <x/>
    </i>
  </colItems>
  <dataFields count="1">
    <dataField fld="2" subtotal="count" baseField="0" baseItem="0"/>
  </dataFields>
  <chartFormats count="1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6"/>
          </reference>
        </references>
      </pivotArea>
    </chartFormat>
    <chartFormat chart="0" format="4" series="1">
      <pivotArea type="data" outline="0" fieldPosition="0">
        <references count="1">
          <reference field="0" count="1" selected="0">
            <x v="3"/>
          </reference>
        </references>
      </pivotArea>
    </chartFormat>
    <chartFormat chart="0" format="5" series="1">
      <pivotArea type="data" outline="0" fieldPosition="0">
        <references count="1">
          <reference field="0" count="1" selected="0">
            <x v="7"/>
          </reference>
        </references>
      </pivotArea>
    </chartFormat>
    <chartFormat chart="0" format="6" series="1">
      <pivotArea type="data" outline="0" fieldPosition="0">
        <references count="1">
          <reference field="0" count="1" selected="0">
            <x v="8"/>
          </reference>
        </references>
      </pivotArea>
    </chartFormat>
    <chartFormat chart="0" format="7" series="1">
      <pivotArea type="data" outline="0" fieldPosition="0">
        <references count="1">
          <reference field="0" count="1" selected="0">
            <x v="9"/>
          </reference>
        </references>
      </pivotArea>
    </chartFormat>
    <chartFormat chart="0" format="8" series="1">
      <pivotArea type="data" outline="0" fieldPosition="0">
        <references count="1">
          <reference field="0" count="1" selected="0">
            <x v="10"/>
          </reference>
        </references>
      </pivotArea>
    </chartFormat>
    <chartFormat chart="0" format="9" series="1">
      <pivotArea type="data" outline="0" fieldPosition="0">
        <references count="1">
          <reference field="0" count="1" selected="0">
            <x v="5"/>
          </reference>
        </references>
      </pivotArea>
    </chartFormat>
    <chartFormat chart="0" format="10" series="1">
      <pivotArea type="data" outline="0" fieldPosition="0">
        <references count="1">
          <reference field="0" count="1" selected="0">
            <x v="4"/>
          </reference>
        </references>
      </pivotArea>
    </chartFormat>
    <chartFormat chart="0" format="11" series="1">
      <pivotArea type="data" outline="0" fieldPosition="0">
        <references count="1">
          <reference field="0" count="1" selected="0">
            <x v="11"/>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 chart="0" format="13" series="1">
      <pivotArea type="data" outline="0" fieldPosition="0">
        <references count="2">
          <reference field="4294967294" count="1" selected="0">
            <x v="0"/>
          </reference>
          <reference field="1"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6" columnCount="3" cacheId="1405461090">
        <x15:pivotRow count="3">
          <x15:c>
            <x15:v>2000</x15:v>
            <x15:x in="0"/>
          </x15:c>
          <x15:c t="e">
            <x15:v/>
            <x15:x in="0"/>
          </x15:c>
          <x15:c>
            <x15:v>2000</x15:v>
            <x15:x in="0"/>
          </x15:c>
        </x15:pivotRow>
        <x15:pivotRow count="3">
          <x15:c t="e">
            <x15:v/>
            <x15:x in="0"/>
          </x15:c>
          <x15:c>
            <x15:v>40</x15:v>
            <x15:x in="0"/>
          </x15:c>
          <x15:c>
            <x15:v>40</x15:v>
            <x15:x in="0"/>
          </x15:c>
        </x15:pivotRow>
        <x15:pivotRow count="3">
          <x15:c>
            <x15:v>80</x15:v>
            <x15:x in="0"/>
          </x15:c>
          <x15:c t="e">
            <x15:v/>
            <x15:x in="0"/>
          </x15:c>
          <x15:c>
            <x15:v>80</x15:v>
            <x15:x in="0"/>
          </x15:c>
        </x15:pivotRow>
        <x15:pivotRow count="3">
          <x15:c t="e">
            <x15:v/>
            <x15:x in="0"/>
          </x15:c>
          <x15:c>
            <x15:v>40</x15:v>
            <x15:x in="0"/>
          </x15:c>
          <x15:c>
            <x15:v>40</x15:v>
            <x15:x in="0"/>
          </x15:c>
        </x15:pivotRow>
        <x15:pivotRow count="3">
          <x15:c>
            <x15:v>80</x15:v>
            <x15:x in="0"/>
          </x15:c>
          <x15:c t="e">
            <x15:v/>
            <x15:x in="0"/>
          </x15:c>
          <x15:c>
            <x15:v>80</x15:v>
            <x15:x in="0"/>
          </x15:c>
        </x15:pivotRow>
        <x15:pivotRow count="3">
          <x15:c>
            <x15:v>2160</x15:v>
            <x15:x in="0"/>
          </x15:c>
          <x15:c>
            <x15:v>80</x15:v>
            <x15:x in="0"/>
          </x15:c>
          <x15:c>
            <x15:v>2240</x15:v>
            <x15:x in="0"/>
          </x15:c>
        </x15:pivotRow>
      </x15:pivotTableData>
    </ext>
    <ext xmlns:x15="http://schemas.microsoft.com/office/spreadsheetml/2010/11/main" uri="{E67621CE-5B39-4880-91FE-76760E9C1902}">
      <x15:pivotTableUISettings>
        <x15:activeTabTopLevelEntity name="[Calendar]"/>
        <x15:activeTabTopLevelEntity name="[Category_Sub]"/>
        <x15:activeTabTopLevelEntity name="[Transaction_tbl]"/>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A0E38E-D41D-4B83-8263-5A34AAFE11E3}" name="PivotChartTable10" cacheId="60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A1:D15" firstHeaderRow="1" firstDataRow="2" firstDataCol="1"/>
  <pivotFields count="4">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Fields count="1">
    <field x="0"/>
  </colFields>
  <colItems count="3">
    <i>
      <x/>
    </i>
    <i>
      <x v="1"/>
    </i>
    <i t="grand">
      <x/>
    </i>
  </colItems>
  <dataFields count="1">
    <dataField fld="1" subtotal="count" baseField="0" baseItem="0"/>
  </dataFields>
  <chartFormats count="2">
    <chartFormat chart="0" format="12" series="1">
      <pivotArea type="data" outline="0" fieldPosition="0">
        <references count="2">
          <reference field="4294967294" count="1" selected="0">
            <x v="0"/>
          </reference>
          <reference field="0" count="1" selected="0">
            <x v="1"/>
          </reference>
        </references>
      </pivotArea>
    </chartFormat>
    <chartFormat chart="0" format="13" series="1">
      <pivotArea type="data" outline="0" fieldPosition="0">
        <references count="2">
          <reference field="4294967294" count="1" selected="0">
            <x v="0"/>
          </reference>
          <reference field="0" count="1" selected="0">
            <x v="0"/>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3" cacheId="1218902640">
        <x15:pivotRow count="3">
          <x15:c>
            <x15:v>450</x15:v>
            <x15:x in="0"/>
          </x15:c>
          <x15:c>
            <x15:v>430</x15:v>
            <x15:x in="0"/>
          </x15:c>
          <x15:c>
            <x15:v>880</x15:v>
            <x15:x in="0"/>
          </x15:c>
        </x15:pivotRow>
        <x15:pivotRow count="3">
          <x15:c>
            <x15:v>450</x15:v>
            <x15:x in="0"/>
          </x15:c>
          <x15:c>
            <x15:v>430</x15:v>
            <x15:x in="0"/>
          </x15:c>
          <x15:c>
            <x15:v>880</x15:v>
            <x15:x in="0"/>
          </x15:c>
        </x15:pivotRow>
        <x15:pivotRow count="3">
          <x15:c>
            <x15:v>570</x15:v>
            <x15:x in="0"/>
          </x15:c>
          <x15:c t="e">
            <x15:v/>
            <x15:x in="0"/>
          </x15:c>
          <x15:c>
            <x15:v>570</x15:v>
            <x15:x in="0"/>
          </x15:c>
        </x15:pivotRow>
        <x15:pivotRow count="3">
          <x15:c>
            <x15:v>450</x15:v>
            <x15:x in="0"/>
          </x15:c>
          <x15:c>
            <x15:v>430</x15:v>
            <x15:x in="0"/>
          </x15:c>
          <x15:c>
            <x15:v>880</x15:v>
            <x15:x in="0"/>
          </x15:c>
        </x15:pivotRow>
        <x15:pivotRow count="3">
          <x15:c>
            <x15:v>900</x15:v>
            <x15:x in="0"/>
          </x15:c>
          <x15:c t="e">
            <x15:v/>
            <x15:x in="0"/>
          </x15:c>
          <x15:c>
            <x15:v>900</x15:v>
            <x15:x in="0"/>
          </x15:c>
        </x15:pivotRow>
        <x15:pivotRow count="3">
          <x15:c>
            <x15:v>900</x15:v>
            <x15:x in="0"/>
          </x15:c>
          <x15:c t="e">
            <x15:v/>
            <x15:x in="0"/>
          </x15:c>
          <x15:c>
            <x15:v>900</x15:v>
            <x15:x in="0"/>
          </x15:c>
        </x15:pivotRow>
        <x15:pivotRow count="3">
          <x15:c>
            <x15:v>900</x15:v>
            <x15:x in="0"/>
          </x15:c>
          <x15:c t="e">
            <x15:v/>
            <x15:x in="0"/>
          </x15:c>
          <x15:c>
            <x15:v>900</x15:v>
            <x15:x in="0"/>
          </x15:c>
        </x15:pivotRow>
        <x15:pivotRow count="3">
          <x15:c>
            <x15:v>900</x15:v>
            <x15:x in="0"/>
          </x15:c>
          <x15:c t="e">
            <x15:v/>
            <x15:x in="0"/>
          </x15:c>
          <x15:c>
            <x15:v>900</x15:v>
            <x15:x in="0"/>
          </x15:c>
        </x15:pivotRow>
        <x15:pivotRow count="3">
          <x15:c>
            <x15:v>450</x15:v>
            <x15:x in="0"/>
          </x15:c>
          <x15:c>
            <x15:v>180</x15:v>
            <x15:x in="0"/>
          </x15:c>
          <x15:c>
            <x15:v>630</x15:v>
            <x15:x in="0"/>
          </x15:c>
        </x15:pivotRow>
        <x15:pivotRow count="3">
          <x15:c>
            <x15:v>450</x15:v>
            <x15:x in="0"/>
          </x15:c>
          <x15:c>
            <x15:v>250</x15:v>
            <x15:x in="0"/>
          </x15:c>
          <x15:c>
            <x15:v>700</x15:v>
            <x15:x in="0"/>
          </x15:c>
        </x15:pivotRow>
        <x15:pivotRow count="3">
          <x15:c>
            <x15:v>450</x15:v>
            <x15:x in="0"/>
          </x15:c>
          <x15:c>
            <x15:v>180</x15:v>
            <x15:x in="0"/>
          </x15:c>
          <x15:c>
            <x15:v>630</x15:v>
            <x15:x in="0"/>
          </x15:c>
        </x15:pivotRow>
        <x15:pivotRow count="3">
          <x15:c>
            <x15:v>450</x15:v>
            <x15:x in="0"/>
          </x15:c>
          <x15:c>
            <x15:v>250</x15:v>
            <x15:x in="0"/>
          </x15:c>
          <x15:c>
            <x15:v>700</x15:v>
            <x15:x in="0"/>
          </x15:c>
        </x15:pivotRow>
        <x15:pivotRow count="3">
          <x15:c>
            <x15:v>7320</x15:v>
            <x15:x in="0"/>
          </x15:c>
          <x15:c>
            <x15:v>2150</x15:v>
            <x15:x in="0"/>
          </x15:c>
          <x15:c>
            <x15:v>9470</x15:v>
            <x15:x in="0"/>
          </x15:c>
        </x15:pivotRow>
      </x15:pivotTableData>
    </ext>
    <ext xmlns:x15="http://schemas.microsoft.com/office/spreadsheetml/2010/11/main" uri="{E67621CE-5B39-4880-91FE-76760E9C1902}">
      <x15:pivotTableUISettings>
        <x15:activeTabTopLevelEntity name="[Calendar]"/>
        <x15:activeTabTopLevelEntity name="[Category_Sub]"/>
        <x15:activeTabTopLevelEntity name="[Transaction_tbl]"/>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B4A6DD-A537-4867-9421-62980F0F20B0}" name="PivotChartTable11" cacheId="60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1:D15" firstHeaderRow="1" firstDataRow="2"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3">
    <i>
      <x/>
    </i>
    <i>
      <x v="1"/>
    </i>
    <i t="grand">
      <x/>
    </i>
  </colItems>
  <dataFields count="1">
    <dataField fld="2" subtotal="count" baseField="0" baseItem="0"/>
  </dataFields>
  <chartFormats count="22">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0" format="4" series="1">
      <pivotArea type="data" outline="0" fieldPosition="0">
        <references count="1">
          <reference field="0" count="1" selected="0">
            <x v="4"/>
          </reference>
        </references>
      </pivotArea>
    </chartFormat>
    <chartFormat chart="0" format="5" series="1">
      <pivotArea type="data" outline="0" fieldPosition="0">
        <references count="1">
          <reference field="0" count="1" selected="0">
            <x v="5"/>
          </reference>
        </references>
      </pivotArea>
    </chartFormat>
    <chartFormat chart="0" format="6" series="1">
      <pivotArea type="data" outline="0" fieldPosition="0">
        <references count="1">
          <reference field="0" count="1" selected="0">
            <x v="6"/>
          </reference>
        </references>
      </pivotArea>
    </chartFormat>
    <chartFormat chart="0" format="7" series="1">
      <pivotArea type="data" outline="0" fieldPosition="0">
        <references count="1">
          <reference field="0" count="1" selected="0">
            <x v="7"/>
          </reference>
        </references>
      </pivotArea>
    </chartFormat>
    <chartFormat chart="0" format="8" series="1">
      <pivotArea type="data" outline="0" fieldPosition="0">
        <references count="1">
          <reference field="0" count="1" selected="0">
            <x v="8"/>
          </reference>
        </references>
      </pivotArea>
    </chartFormat>
    <chartFormat chart="0" format="9" series="1">
      <pivotArea type="data" outline="0" fieldPosition="0">
        <references count="1">
          <reference field="0" count="1" selected="0">
            <x v="9"/>
          </reference>
        </references>
      </pivotArea>
    </chartFormat>
    <chartFormat chart="0" format="10" series="1">
      <pivotArea type="data" outline="0" fieldPosition="0">
        <references count="1">
          <reference field="0" count="1" selected="0">
            <x v="10"/>
          </reference>
        </references>
      </pivotArea>
    </chartFormat>
    <chartFormat chart="0" format="11" series="1">
      <pivotArea type="data" outline="0" fieldPosition="0">
        <references count="1">
          <reference field="0" count="1" selected="0">
            <x v="11"/>
          </reference>
        </references>
      </pivotArea>
    </chartFormat>
    <chartFormat chart="0" format="13" series="1">
      <pivotArea type="data" outline="0" fieldPosition="0">
        <references count="1">
          <reference field="1" count="1" selected="0">
            <x v="3"/>
          </reference>
        </references>
      </pivotArea>
    </chartFormat>
    <chartFormat chart="0" format="14" series="1">
      <pivotArea type="data" outline="0" fieldPosition="0">
        <references count="1">
          <reference field="1" count="1" selected="0">
            <x v="4"/>
          </reference>
        </references>
      </pivotArea>
    </chartFormat>
    <chartFormat chart="0" format="15" series="1">
      <pivotArea type="data" outline="0" fieldPosition="0">
        <references count="1">
          <reference field="1" count="1" selected="0">
            <x v="5"/>
          </reference>
        </references>
      </pivotArea>
    </chartFormat>
    <chartFormat chart="0" format="16" series="1">
      <pivotArea type="data" outline="0" fieldPosition="0">
        <references count="1">
          <reference field="1" count="1" selected="0">
            <x v="0"/>
          </reference>
        </references>
      </pivotArea>
    </chartFormat>
    <chartFormat chart="0" format="17" series="1">
      <pivotArea type="data" outline="0" fieldPosition="0">
        <references count="1">
          <reference field="1" count="1" selected="0">
            <x v="6"/>
          </reference>
        </references>
      </pivotArea>
    </chartFormat>
    <chartFormat chart="0" format="18" series="1">
      <pivotArea type="data" outline="0" fieldPosition="0">
        <references count="1">
          <reference field="1" count="1" selected="0">
            <x v="7"/>
          </reference>
        </references>
      </pivotArea>
    </chartFormat>
    <chartFormat chart="0" format="19" series="1">
      <pivotArea type="data" outline="0" fieldPosition="0">
        <references count="1">
          <reference field="1" count="1" selected="0">
            <x v="1"/>
          </reference>
        </references>
      </pivotArea>
    </chartFormat>
    <chartFormat chart="0" format="21" series="1">
      <pivotArea type="data" outline="0" fieldPosition="0">
        <references count="1">
          <reference field="1" count="1" selected="0">
            <x v="2"/>
          </reference>
        </references>
      </pivotArea>
    </chartFormat>
    <chartFormat chart="0" format="22" series="1">
      <pivotArea type="data" outline="0" fieldPosition="0">
        <references count="2">
          <reference field="4294967294" count="1" selected="0">
            <x v="0"/>
          </reference>
          <reference field="1" count="1" selected="0">
            <x v="1"/>
          </reference>
        </references>
      </pivotArea>
    </chartFormat>
    <chartFormat chart="0" format="23" series="1">
      <pivotArea type="data" outline="0" fieldPosition="0">
        <references count="2">
          <reference field="4294967294" count="1" selected="0">
            <x v="0"/>
          </reference>
          <reference field="1" count="1" selected="0">
            <x v="0"/>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3" cacheId="1257335236">
        <x15:pivotRow count="3">
          <x15:c>
            <x15:v>1715</x15:v>
            <x15:x in="0"/>
          </x15:c>
          <x15:c>
            <x15:v>26</x15:v>
            <x15:x in="0"/>
          </x15:c>
          <x15:c>
            <x15:v>1741</x15:v>
            <x15:x in="0"/>
          </x15:c>
        </x15:pivotRow>
        <x15:pivotRow count="3">
          <x15:c>
            <x15:v>658</x15:v>
            <x15:x in="0"/>
          </x15:c>
          <x15:c>
            <x15:v>32</x15:v>
            <x15:x in="0"/>
          </x15:c>
          <x15:c>
            <x15:v>690</x15:v>
            <x15:x in="0"/>
          </x15:c>
        </x15:pivotRow>
        <x15:pivotRow count="3">
          <x15:c>
            <x15:v>610</x15:v>
            <x15:x in="0"/>
          </x15:c>
          <x15:c>
            <x15:v>140</x15:v>
            <x15:x in="0"/>
          </x15:c>
          <x15:c>
            <x15:v>750</x15:v>
            <x15:x in="0"/>
          </x15:c>
        </x15:pivotRow>
        <x15:pivotRow count="3">
          <x15:c>
            <x15:v>625</x15:v>
            <x15:x in="0"/>
          </x15:c>
          <x15:c>
            <x15:v>74</x15:v>
            <x15:x in="0"/>
          </x15:c>
          <x15:c>
            <x15:v>699</x15:v>
            <x15:x in="0"/>
          </x15:c>
        </x15:pivotRow>
        <x15:pivotRow count="3">
          <x15:c>
            <x15:v>680</x15:v>
            <x15:x in="0"/>
          </x15:c>
          <x15:c>
            <x15:v>60</x15:v>
            <x15:x in="0"/>
          </x15:c>
          <x15:c>
            <x15:v>740</x15:v>
            <x15:x in="0"/>
          </x15:c>
        </x15:pivotRow>
        <x15:pivotRow count="3">
          <x15:c>
            <x15:v>635</x15:v>
            <x15:x in="0"/>
          </x15:c>
          <x15:c>
            <x15:v>130</x15:v>
            <x15:x in="0"/>
          </x15:c>
          <x15:c>
            <x15:v>765</x15:v>
            <x15:x in="0"/>
          </x15:c>
        </x15:pivotRow>
        <x15:pivotRow count="3">
          <x15:c>
            <x15:v>520</x15:v>
            <x15:x in="0"/>
          </x15:c>
          <x15:c>
            <x15:v>155</x15:v>
            <x15:x in="0"/>
          </x15:c>
          <x15:c>
            <x15:v>675</x15:v>
            <x15:x in="0"/>
          </x15:c>
        </x15:pivotRow>
        <x15:pivotRow count="3">
          <x15:c>
            <x15:v>660</x15:v>
            <x15:x in="0"/>
          </x15:c>
          <x15:c t="e">
            <x15:v/>
            <x15:x in="0"/>
          </x15:c>
          <x15:c>
            <x15:v>660</x15:v>
            <x15:x in="0"/>
          </x15:c>
        </x15:pivotRow>
        <x15:pivotRow count="3">
          <x15:c>
            <x15:v>630</x15:v>
            <x15:x in="0"/>
          </x15:c>
          <x15:c>
            <x15:v>90</x15:v>
            <x15:x in="0"/>
          </x15:c>
          <x15:c>
            <x15:v>720</x15:v>
            <x15:x in="0"/>
          </x15:c>
        </x15:pivotRow>
        <x15:pivotRow count="3">
          <x15:c>
            <x15:v>555</x15:v>
            <x15:x in="0"/>
          </x15:c>
          <x15:c t="e">
            <x15:v/>
            <x15:x in="0"/>
          </x15:c>
          <x15:c>
            <x15:v>555</x15:v>
            <x15:x in="0"/>
          </x15:c>
        </x15:pivotRow>
        <x15:pivotRow count="3">
          <x15:c>
            <x15:v>520</x15:v>
            <x15:x in="0"/>
          </x15:c>
          <x15:c>
            <x15:v>55</x15:v>
            <x15:x in="0"/>
          </x15:c>
          <x15:c>
            <x15:v>575</x15:v>
            <x15:x in="0"/>
          </x15:c>
        </x15:pivotRow>
        <x15:pivotRow count="3">
          <x15:c>
            <x15:v>520</x15:v>
            <x15:x in="0"/>
          </x15:c>
          <x15:c>
            <x15:v>275</x15:v>
            <x15:x in="0"/>
          </x15:c>
          <x15:c>
            <x15:v>795</x15:v>
            <x15:x in="0"/>
          </x15:c>
        </x15:pivotRow>
        <x15:pivotRow count="3">
          <x15:c>
            <x15:v>8328</x15:v>
            <x15:x in="0"/>
          </x15:c>
          <x15:c>
            <x15:v>1037</x15:v>
            <x15:x in="0"/>
          </x15:c>
          <x15:c>
            <x15:v>9365</x15:v>
            <x15:x in="0"/>
          </x15:c>
        </x15:pivotRow>
      </x15:pivotTableData>
    </ext>
    <ext xmlns:x15="http://schemas.microsoft.com/office/spreadsheetml/2010/11/main" uri="{E67621CE-5B39-4880-91FE-76760E9C1902}">
      <x15:pivotTableUISettings>
        <x15:activeTabTopLevelEntity name="[Calendar]"/>
        <x15:activeTabTopLevelEntity name="[Category_Sub]"/>
        <x15:activeTabTopLevelEntity name="[Transaction_tbl]"/>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C532B13-8541-4B2B-868D-F755DD75DE90}" name="PivotChartTable13" cacheId="59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6">
  <location ref="A1:C6"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fld="1" subtotal="count" baseField="0" baseItem="0"/>
    <dataField fld="2" subtotal="count" baseField="0" baseItem="0"/>
  </dataFields>
  <chartFormats count="2">
    <chartFormat chart="20" format="7" series="1">
      <pivotArea type="data" outline="0" fieldPosition="0">
        <references count="1">
          <reference field="4294967294" count="1" selected="0">
            <x v="0"/>
          </reference>
        </references>
      </pivotArea>
    </chartFormat>
    <chartFormat chart="20" format="8" series="1">
      <pivotArea type="data" outline="0" fieldPosition="0">
        <references count="1">
          <reference field="4294967294"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5" columnCount="2" cacheId="1558507372">
        <x15:pivotRow count="2">
          <x15:c>
            <x15:v>3000</x15:v>
            <x15:x in="0"/>
          </x15:c>
          <x15:c>
            <x15:v>250</x15:v>
            <x15:x in="0"/>
          </x15:c>
        </x15:pivotRow>
        <x15:pivotRow count="2">
          <x15:c>
            <x15:v>1200</x15:v>
            <x15:x in="0"/>
          </x15:c>
          <x15:c>
            <x15:v>1000</x15:v>
            <x15:x in="0"/>
          </x15:c>
        </x15:pivotRow>
        <x15:pivotRow count="2">
          <x15:c>
            <x15:v>240</x15:v>
            <x15:x in="0"/>
          </x15:c>
          <x15:c>
            <x15:v>160</x15:v>
            <x15:x in="0"/>
          </x15:c>
        </x15:pivotRow>
        <x15:pivotRow count="2">
          <x15:c>
            <x15:v>3600</x15:v>
            <x15:x in="0"/>
          </x15:c>
          <x15:c>
            <x15:v>427</x15:v>
            <x15:x in="0"/>
          </x15:c>
        </x15:pivotRow>
        <x15:pivotRow count="2">
          <x15:c>
            <x15:v>8040</x15:v>
            <x15:x in="0"/>
          </x15:c>
          <x15:c>
            <x15:v>1837</x15:v>
            <x15:x in="0"/>
          </x15:c>
        </x15:pivotRow>
      </x15:pivotTableData>
    </ext>
    <ext xmlns:x15="http://schemas.microsoft.com/office/spreadsheetml/2010/11/main" uri="{E67621CE-5B39-4880-91FE-76760E9C1902}">
      <x15:pivotTableUISettings>
        <x15:activeTabTopLevelEntity name="[Category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C532B13-8541-4B2B-868D-F755DD75DE90}" name="PivotChartTable14" cacheId="59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6">
  <location ref="A1:C7"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chartFormats count="2">
    <chartFormat chart="26" format="6" series="1">
      <pivotArea type="data" outline="0" fieldPosition="0">
        <references count="1">
          <reference field="4294967294" count="1" selected="0">
            <x v="0"/>
          </reference>
        </references>
      </pivotArea>
    </chartFormat>
    <chartFormat chart="26" format="8" series="1">
      <pivotArea type="data" outline="0" fieldPosition="0">
        <references count="1">
          <reference field="4294967294" count="1" selected="0">
            <x v="1"/>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6" columnCount="2" cacheId="1551420544">
        <x15:pivotRow count="2">
          <x15:c>
            <x15:v>11400</x15:v>
            <x15:x in="0"/>
          </x15:c>
          <x15:c>
            <x15:v>900</x15:v>
            <x15:x in="0"/>
          </x15:c>
        </x15:pivotRow>
        <x15:pivotRow count="2">
          <x15:c>
            <x15:v>240</x15:v>
            <x15:x in="0"/>
          </x15:c>
          <x15:c>
            <x15:v>1250</x15:v>
            <x15:x in="0"/>
          </x15:c>
        </x15:pivotRow>
        <x15:pivotRow count="2">
          <x15:c>
            <x15:v>12000</x15:v>
            <x15:x in="0"/>
          </x15:c>
          <x15:c>
            <x15:v>3600</x15:v>
            <x15:x in="0"/>
          </x15:c>
        </x15:pivotRow>
        <x15:pivotRow count="2">
          <x15:c>
            <x15:v>2050</x15:v>
            <x15:x in="0"/>
          </x15:c>
          <x15:c>
            <x15:v>120</x15:v>
            <x15:x in="0"/>
          </x15:c>
        </x15:pivotRow>
        <x15:pivotRow count="2">
          <x15:c>
            <x15:v>4200</x15:v>
            <x15:x in="0"/>
          </x15:c>
          <x15:c>
            <x15:v>3600</x15:v>
            <x15:x in="0"/>
          </x15:c>
        </x15:pivotRow>
        <x15:pivotRow count="2">
          <x15:c>
            <x15:v>29890</x15:v>
            <x15:x in="0"/>
          </x15:c>
          <x15:c>
            <x15:v>9470</x15:v>
            <x15:x in="0"/>
          </x15:c>
        </x15:pivotRow>
      </x15:pivotTableData>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16DDC49-2941-4DD1-9E30-D9E3DD28D8DA}" name="PivotChartTable15" cacheId="59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9">
  <location ref="A1:E14"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fld="0" subtotal="count" baseField="0" baseItem="0"/>
    <dataField fld="1" subtotal="count" baseField="0" baseItem="0"/>
    <dataField name="Total Actuals - Income2" fld="3" subtotal="count" baseField="0" baseItem="0">
      <extLst>
        <ext xmlns:x14="http://schemas.microsoft.com/office/spreadsheetml/2009/9/main" uri="{E15A36E0-9728-4e99-A89B-3F7291B0FE68}">
          <x14:dataField sourceField="1" uniqueName="[__Xl2].[Measures].[Total Actuals - Income]"/>
        </ext>
      </extLst>
    </dataField>
    <dataField name="Total Budget - Income2" fld="4" subtotal="count" baseField="0" baseItem="0">
      <extLst>
        <ext xmlns:x14="http://schemas.microsoft.com/office/spreadsheetml/2009/9/main" uri="{E15A36E0-9728-4e99-A89B-3F7291B0FE68}">
          <x14:dataField sourceField="0" uniqueName="[__Xl2].[Measures].[Total Budget - Income]"/>
        </ext>
      </extLst>
    </dataField>
  </dataFields>
  <chartFormats count="4">
    <chartFormat chart="23" format="6" series="1">
      <pivotArea type="data" outline="0" fieldPosition="0">
        <references count="1">
          <reference field="4294967294" count="1" selected="0">
            <x v="0"/>
          </reference>
        </references>
      </pivotArea>
    </chartFormat>
    <chartFormat chart="23" format="8" series="1">
      <pivotArea type="data" outline="0" fieldPosition="0">
        <references count="1">
          <reference field="4294967294" count="1" selected="0">
            <x v="1"/>
          </reference>
        </references>
      </pivotArea>
    </chartFormat>
    <chartFormat chart="23" format="22" series="1">
      <pivotArea type="data" outline="0" fieldPosition="0">
        <references count="1">
          <reference field="4294967294" count="1" selected="0">
            <x v="2"/>
          </reference>
        </references>
      </pivotArea>
    </chartFormat>
    <chartFormat chart="23" format="23" series="1">
      <pivotArea type="data" outline="0" fieldPosition="0">
        <references count="1">
          <reference field="4294967294" count="1" selected="0">
            <x v="3"/>
          </reference>
        </references>
      </pivotArea>
    </chartFormat>
  </chartFormats>
  <pivotHierarchies count="5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4" cacheId="822795130">
        <x15:pivotRow count="4">
          <x15:c>
            <x15:v>3420</x15:v>
            <x15:x in="0"/>
          </x15:c>
          <x15:c>
            <x15:v>880</x15:v>
            <x15:x in="0"/>
          </x15:c>
          <x15:c>
            <x15:v>880</x15:v>
            <x15:x in="0"/>
          </x15:c>
          <x15:c>
            <x15:v>3420</x15:v>
            <x15:x in="0"/>
          </x15:c>
        </x15:pivotRow>
        <x15:pivotRow count="4">
          <x15:c>
            <x15:v>4870</x15:v>
            <x15:x in="0"/>
          </x15:c>
          <x15:c>
            <x15:v>880</x15:v>
            <x15:x in="0"/>
          </x15:c>
          <x15:c>
            <x15:v>880</x15:v>
            <x15:x in="0"/>
          </x15:c>
          <x15:c>
            <x15:v>4870</x15:v>
            <x15:x in="0"/>
          </x15:c>
        </x15:pivotRow>
        <x15:pivotRow count="4">
          <x15:c>
            <x15:v>3420</x15:v>
            <x15:x in="0"/>
          </x15:c>
          <x15:c>
            <x15:v>570</x15:v>
            <x15:x in="0"/>
          </x15:c>
          <x15:c>
            <x15:v>570</x15:v>
            <x15:x in="0"/>
          </x15:c>
          <x15:c>
            <x15:v>3420</x15:v>
            <x15:x in="0"/>
          </x15:c>
        </x15:pivotRow>
        <x15:pivotRow count="4">
          <x15:c>
            <x15:v>3420</x15:v>
            <x15:x in="0"/>
          </x15:c>
          <x15:c>
            <x15:v>880</x15:v>
            <x15:x in="0"/>
          </x15:c>
          <x15:c>
            <x15:v>880</x15:v>
            <x15:x in="0"/>
          </x15:c>
          <x15:c>
            <x15:v>3420</x15:v>
            <x15:x in="0"/>
          </x15:c>
        </x15:pivotRow>
        <x15:pivotRow count="4">
          <x15:c>
            <x15:v>3420</x15:v>
            <x15:x in="0"/>
          </x15:c>
          <x15:c>
            <x15:v>900</x15:v>
            <x15:x in="0"/>
          </x15:c>
          <x15:c>
            <x15:v>900</x15:v>
            <x15:x in="0"/>
          </x15:c>
          <x15:c>
            <x15:v>3420</x15:v>
            <x15:x in="0"/>
          </x15:c>
        </x15:pivotRow>
        <x15:pivotRow count="4">
          <x15:c>
            <x15:v>1620</x15:v>
            <x15:x in="0"/>
          </x15:c>
          <x15:c>
            <x15:v>900</x15:v>
            <x15:x in="0"/>
          </x15:c>
          <x15:c>
            <x15:v>900</x15:v>
            <x15:x in="0"/>
          </x15:c>
          <x15:c>
            <x15:v>1620</x15:v>
            <x15:x in="0"/>
          </x15:c>
        </x15:pivotRow>
        <x15:pivotRow count="4">
          <x15:c>
            <x15:v>1620</x15:v>
            <x15:x in="0"/>
          </x15:c>
          <x15:c>
            <x15:v>900</x15:v>
            <x15:x in="0"/>
          </x15:c>
          <x15:c>
            <x15:v>900</x15:v>
            <x15:x in="0"/>
          </x15:c>
          <x15:c>
            <x15:v>1620</x15:v>
            <x15:x in="0"/>
          </x15:c>
        </x15:pivotRow>
        <x15:pivotRow count="4">
          <x15:c>
            <x15:v>1620</x15:v>
            <x15:x in="0"/>
          </x15:c>
          <x15:c>
            <x15:v>900</x15:v>
            <x15:x in="0"/>
          </x15:c>
          <x15:c>
            <x15:v>900</x15:v>
            <x15:x in="0"/>
          </x15:c>
          <x15:c>
            <x15:v>1620</x15:v>
            <x15:x in="0"/>
          </x15:c>
        </x15:pivotRow>
        <x15:pivotRow count="4">
          <x15:c>
            <x15:v>1620</x15:v>
            <x15:x in="0"/>
          </x15:c>
          <x15:c>
            <x15:v>630</x15:v>
            <x15:x in="0"/>
          </x15:c>
          <x15:c>
            <x15:v>630</x15:v>
            <x15:x in="0"/>
          </x15:c>
          <x15:c>
            <x15:v>1620</x15:v>
            <x15:x in="0"/>
          </x15:c>
        </x15:pivotRow>
        <x15:pivotRow count="4">
          <x15:c>
            <x15:v>1620</x15:v>
            <x15:x in="0"/>
          </x15:c>
          <x15:c>
            <x15:v>700</x15:v>
            <x15:x in="0"/>
          </x15:c>
          <x15:c>
            <x15:v>700</x15:v>
            <x15:x in="0"/>
          </x15:c>
          <x15:c>
            <x15:v>1620</x15:v>
            <x15:x in="0"/>
          </x15:c>
        </x15:pivotRow>
        <x15:pivotRow count="4">
          <x15:c>
            <x15:v>1620</x15:v>
            <x15:x in="0"/>
          </x15:c>
          <x15:c>
            <x15:v>630</x15:v>
            <x15:x in="0"/>
          </x15:c>
          <x15:c>
            <x15:v>630</x15:v>
            <x15:x in="0"/>
          </x15:c>
          <x15:c>
            <x15:v>1620</x15:v>
            <x15:x in="0"/>
          </x15:c>
        </x15:pivotRow>
        <x15:pivotRow count="4">
          <x15:c>
            <x15:v>1620</x15:v>
            <x15:x in="0"/>
          </x15:c>
          <x15:c>
            <x15:v>700</x15:v>
            <x15:x in="0"/>
          </x15:c>
          <x15:c>
            <x15:v>700</x15:v>
            <x15:x in="0"/>
          </x15:c>
          <x15:c>
            <x15:v>1620</x15:v>
            <x15:x in="0"/>
          </x15:c>
        </x15:pivotRow>
        <x15:pivotRow count="4">
          <x15:c>
            <x15:v>29890</x15:v>
            <x15:x in="0"/>
          </x15:c>
          <x15:c>
            <x15:v>9470</x15:v>
            <x15:x in="0"/>
          </x15:c>
          <x15:c>
            <x15:v>9470</x15:v>
            <x15:x in="0"/>
          </x15:c>
          <x15:c>
            <x15:v>29890</x15:v>
            <x15:x in="0"/>
          </x15:c>
        </x15:pivotRow>
      </x15:pivotTableData>
    </ext>
    <ext xmlns:x15="http://schemas.microsoft.com/office/spreadsheetml/2010/11/main" uri="{E67621CE-5B39-4880-91FE-76760E9C1902}">
      <x15:pivotTableUISettings>
        <x15:activeTabTopLevelEntity name="[Month_Sub]"/>
        <x15:activeTabTopLevelEntity name="[Transaction_tbl]"/>
        <x15:activeTabTopLevelEntity name="[Piv_Merg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C532B13-8541-4B2B-868D-F755DD75DE90}" name="PivotChartTable16" cacheId="58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9">
  <location ref="A1:C12"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2" subtotal="count" baseField="0" baseItem="0"/>
    <dataField fld="1" subtotal="count" baseField="0" baseItem="0"/>
  </dataFields>
  <chartFormats count="2">
    <chartFormat chart="61" format="13" series="1">
      <pivotArea type="data" outline="0" fieldPosition="0">
        <references count="1">
          <reference field="4294967294" count="1" selected="0">
            <x v="1"/>
          </reference>
        </references>
      </pivotArea>
    </chartFormat>
    <chartFormat chart="61" format="14"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1" columnCount="2" cacheId="1723898763">
        <x15:pivotRow count="2">
          <x15:c>
            <x15:v>120</x15:v>
            <x15:x in="0"/>
          </x15:c>
          <x15:c>
            <x15:v>210</x15:v>
            <x15:x in="0"/>
          </x15:c>
        </x15:pivotRow>
        <x15:pivotRow count="2">
          <x15:c>
            <x15:v>2400</x15:v>
            <x15:x in="0"/>
          </x15:c>
          <x15:c>
            <x15:v>835</x15:v>
            <x15:x in="0"/>
          </x15:c>
        </x15:pivotRow>
        <x15:pivotRow count="2">
          <x15:c>
            <x15:v>36</x15:v>
            <x15:x in="0"/>
          </x15:c>
          <x15:c t="e">
            <x15:v/>
            <x15:x in="0"/>
          </x15:c>
        </x15:pivotRow>
        <x15:pivotRow count="2">
          <x15:c>
            <x15:v>240</x15:v>
            <x15:x in="0"/>
          </x15:c>
          <x15:c>
            <x15:v>63</x15:v>
            <x15:x in="0"/>
          </x15:c>
        </x15:pivotRow>
        <x15:pivotRow count="2">
          <x15:c>
            <x15:v>60</x15:v>
            <x15:x in="0"/>
          </x15:c>
          <x15:c>
            <x15:v>280</x15:v>
            <x15:x in="0"/>
          </x15:c>
        </x15:pivotRow>
        <x15:pivotRow count="2">
          <x15:c>
            <x15:v>6000</x15:v>
            <x15:x in="0"/>
          </x15:c>
          <x15:c>
            <x15:v>6240</x15:v>
            <x15:x in="0"/>
          </x15:c>
        </x15:pivotRow>
        <x15:pivotRow count="2">
          <x15:c>
            <x15:v>360</x15:v>
            <x15:x in="0"/>
          </x15:c>
          <x15:c>
            <x15:v>495</x15:v>
            <x15:x in="0"/>
          </x15:c>
        </x15:pivotRow>
        <x15:pivotRow count="2">
          <x15:c>
            <x15:v>60</x15:v>
            <x15:x in="0"/>
          </x15:c>
          <x15:c>
            <x15:v>52</x15:v>
            <x15:x in="0"/>
          </x15:c>
        </x15:pivotRow>
        <x15:pivotRow count="2">
          <x15:c>
            <x15:v>1200</x15:v>
            <x15:x in="0"/>
          </x15:c>
          <x15:c>
            <x15:v>1120</x15:v>
            <x15:x in="0"/>
          </x15:c>
        </x15:pivotRow>
        <x15:pivotRow count="2">
          <x15:c>
            <x15:v>96</x15:v>
            <x15:x in="0"/>
          </x15:c>
          <x15:c>
            <x15:v>70</x15:v>
            <x15:x in="0"/>
          </x15:c>
        </x15:pivotRow>
        <x15:pivotRow count="2">
          <x15:c>
            <x15:v>10572</x15:v>
            <x15:x in="0"/>
          </x15:c>
          <x15:c>
            <x15:v>9365</x15:v>
            <x15:x in="0"/>
          </x15:c>
        </x15:pivotRow>
      </x15:pivotTableData>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Calendar]"/>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16DDC49-2941-4DD1-9E30-D9E3DD28D8DA}" name="PivotChartTable17" cacheId="58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6">
  <location ref="A1:E14"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fld="1" subtotal="count" baseField="0" baseItem="0"/>
    <dataField fld="2" subtotal="count" baseField="0" baseItem="0"/>
    <dataField name="Total Budget - Debt2" fld="3" subtotal="count" baseField="0" baseItem="0">
      <extLst>
        <ext xmlns:x14="http://schemas.microsoft.com/office/spreadsheetml/2009/9/main" uri="{E15A36E0-9728-4e99-A89B-3F7291B0FE68}">
          <x14:dataField sourceField="2" uniqueName="[__Xl2].[Measures].[Total Budget - Debt]"/>
        </ext>
      </extLst>
    </dataField>
    <dataField name="Total Actuals - Debt2" fld="4" subtotal="count" baseField="0" baseItem="0">
      <extLst>
        <ext xmlns:x14="http://schemas.microsoft.com/office/spreadsheetml/2009/9/main" uri="{E15A36E0-9728-4e99-A89B-3F7291B0FE68}">
          <x14:dataField sourceField="1" uniqueName="[__Xl2].[Measures].[Total Actuals - Debt]"/>
        </ext>
      </extLst>
    </dataField>
  </dataFields>
  <chartFormats count="32">
    <chartFormat chart="23" format="6" series="1">
      <pivotArea type="data" outline="0" fieldPosition="0">
        <references count="1">
          <reference field="4294967294" count="1" selected="0">
            <x v="0"/>
          </reference>
        </references>
      </pivotArea>
    </chartFormat>
    <chartFormat chart="23"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2"/>
          </reference>
        </references>
      </pivotArea>
    </chartFormat>
    <chartFormat chart="23" format="9" series="1">
      <pivotArea type="data" outline="0" fieldPosition="0">
        <references count="1">
          <reference field="4294967294" count="1" selected="0">
            <x v="3"/>
          </reference>
        </references>
      </pivotArea>
    </chartFormat>
    <chartFormat chart="23" format="10" series="1">
      <pivotArea type="data" outline="0" fieldPosition="0">
        <references count="2">
          <reference field="4294967294" count="1" selected="0">
            <x v="1"/>
          </reference>
          <reference field="0" count="1" selected="0">
            <x v="2"/>
          </reference>
        </references>
      </pivotArea>
    </chartFormat>
    <chartFormat chart="23" format="11" series="1">
      <pivotArea type="data" outline="0" fieldPosition="0">
        <references count="2">
          <reference field="4294967294" count="1" selected="0">
            <x v="1"/>
          </reference>
          <reference field="0" count="1" selected="0">
            <x v="3"/>
          </reference>
        </references>
      </pivotArea>
    </chartFormat>
    <chartFormat chart="23" format="12" series="1">
      <pivotArea type="data" outline="0" fieldPosition="0">
        <references count="2">
          <reference field="4294967294" count="1" selected="0">
            <x v="1"/>
          </reference>
          <reference field="0" count="1" selected="0">
            <x v="4"/>
          </reference>
        </references>
      </pivotArea>
    </chartFormat>
    <chartFormat chart="23" format="13" series="1">
      <pivotArea type="data" outline="0" fieldPosition="0">
        <references count="2">
          <reference field="4294967294" count="1" selected="0">
            <x v="1"/>
          </reference>
          <reference field="0" count="1" selected="0">
            <x v="5"/>
          </reference>
        </references>
      </pivotArea>
    </chartFormat>
    <chartFormat chart="23" format="14" series="1">
      <pivotArea type="data" outline="0" fieldPosition="0">
        <references count="2">
          <reference field="4294967294" count="1" selected="0">
            <x v="1"/>
          </reference>
          <reference field="0" count="1" selected="0">
            <x v="6"/>
          </reference>
        </references>
      </pivotArea>
    </chartFormat>
    <chartFormat chart="23" format="15" series="1">
      <pivotArea type="data" outline="0" fieldPosition="0">
        <references count="2">
          <reference field="4294967294" count="1" selected="0">
            <x v="1"/>
          </reference>
          <reference field="0" count="1" selected="0">
            <x v="7"/>
          </reference>
        </references>
      </pivotArea>
    </chartFormat>
    <chartFormat chart="23" format="16" series="1">
      <pivotArea type="data" outline="0" fieldPosition="0">
        <references count="2">
          <reference field="4294967294" count="1" selected="0">
            <x v="1"/>
          </reference>
          <reference field="0" count="1" selected="0">
            <x v="8"/>
          </reference>
        </references>
      </pivotArea>
    </chartFormat>
    <chartFormat chart="23" format="17" series="1">
      <pivotArea type="data" outline="0" fieldPosition="0">
        <references count="2">
          <reference field="4294967294" count="1" selected="0">
            <x v="1"/>
          </reference>
          <reference field="0" count="1" selected="0">
            <x v="9"/>
          </reference>
        </references>
      </pivotArea>
    </chartFormat>
    <chartFormat chart="23" format="18" series="1">
      <pivotArea type="data" outline="0" fieldPosition="0">
        <references count="2">
          <reference field="4294967294" count="1" selected="0">
            <x v="1"/>
          </reference>
          <reference field="0" count="1" selected="0">
            <x v="10"/>
          </reference>
        </references>
      </pivotArea>
    </chartFormat>
    <chartFormat chart="23" format="19" series="1">
      <pivotArea type="data" outline="0" fieldPosition="0">
        <references count="2">
          <reference field="4294967294" count="1" selected="0">
            <x v="1"/>
          </reference>
          <reference field="0" count="1" selected="0">
            <x v="11"/>
          </reference>
        </references>
      </pivotArea>
    </chartFormat>
    <chartFormat chart="23" format="20" series="1">
      <pivotArea type="data" outline="0" fieldPosition="0">
        <references count="2">
          <reference field="4294967294" count="1" selected="0">
            <x v="2"/>
          </reference>
          <reference field="0" count="1" selected="0">
            <x v="0"/>
          </reference>
        </references>
      </pivotArea>
    </chartFormat>
    <chartFormat chart="23" format="21" series="1">
      <pivotArea type="data" outline="0" fieldPosition="0">
        <references count="2">
          <reference field="4294967294" count="1" selected="0">
            <x v="2"/>
          </reference>
          <reference field="0" count="1" selected="0">
            <x v="1"/>
          </reference>
        </references>
      </pivotArea>
    </chartFormat>
    <chartFormat chart="23" format="22" series="1">
      <pivotArea type="data" outline="0" fieldPosition="0">
        <references count="2">
          <reference field="4294967294" count="1" selected="0">
            <x v="2"/>
          </reference>
          <reference field="0" count="1" selected="0">
            <x v="2"/>
          </reference>
        </references>
      </pivotArea>
    </chartFormat>
    <chartFormat chart="23" format="23" series="1">
      <pivotArea type="data" outline="0" fieldPosition="0">
        <references count="2">
          <reference field="4294967294" count="1" selected="0">
            <x v="2"/>
          </reference>
          <reference field="0" count="1" selected="0">
            <x v="3"/>
          </reference>
        </references>
      </pivotArea>
    </chartFormat>
    <chartFormat chart="23" format="24" series="1">
      <pivotArea type="data" outline="0" fieldPosition="0">
        <references count="2">
          <reference field="4294967294" count="1" selected="0">
            <x v="2"/>
          </reference>
          <reference field="0" count="1" selected="0">
            <x v="4"/>
          </reference>
        </references>
      </pivotArea>
    </chartFormat>
    <chartFormat chart="23" format="25" series="1">
      <pivotArea type="data" outline="0" fieldPosition="0">
        <references count="2">
          <reference field="4294967294" count="1" selected="0">
            <x v="2"/>
          </reference>
          <reference field="0" count="1" selected="0">
            <x v="5"/>
          </reference>
        </references>
      </pivotArea>
    </chartFormat>
    <chartFormat chart="23" format="26" series="1">
      <pivotArea type="data" outline="0" fieldPosition="0">
        <references count="2">
          <reference field="4294967294" count="1" selected="0">
            <x v="2"/>
          </reference>
          <reference field="0" count="1" selected="0">
            <x v="6"/>
          </reference>
        </references>
      </pivotArea>
    </chartFormat>
    <chartFormat chart="23" format="27" series="1">
      <pivotArea type="data" outline="0" fieldPosition="0">
        <references count="2">
          <reference field="4294967294" count="1" selected="0">
            <x v="2"/>
          </reference>
          <reference field="0" count="1" selected="0">
            <x v="7"/>
          </reference>
        </references>
      </pivotArea>
    </chartFormat>
    <chartFormat chart="23" format="28" series="1">
      <pivotArea type="data" outline="0" fieldPosition="0">
        <references count="2">
          <reference field="4294967294" count="1" selected="0">
            <x v="2"/>
          </reference>
          <reference field="0" count="1" selected="0">
            <x v="8"/>
          </reference>
        </references>
      </pivotArea>
    </chartFormat>
    <chartFormat chart="23" format="29" series="1">
      <pivotArea type="data" outline="0" fieldPosition="0">
        <references count="2">
          <reference field="4294967294" count="1" selected="0">
            <x v="2"/>
          </reference>
          <reference field="0" count="1" selected="0">
            <x v="9"/>
          </reference>
        </references>
      </pivotArea>
    </chartFormat>
    <chartFormat chart="23" format="30" series="1">
      <pivotArea type="data" outline="0" fieldPosition="0">
        <references count="2">
          <reference field="4294967294" count="1" selected="0">
            <x v="2"/>
          </reference>
          <reference field="0" count="1" selected="0">
            <x v="10"/>
          </reference>
        </references>
      </pivotArea>
    </chartFormat>
    <chartFormat chart="23" format="31" series="1">
      <pivotArea type="data" outline="0" fieldPosition="0">
        <references count="2">
          <reference field="4294967294" count="1" selected="0">
            <x v="2"/>
          </reference>
          <reference field="0" count="1" selected="0">
            <x v="11"/>
          </reference>
        </references>
      </pivotArea>
    </chartFormat>
    <chartFormat chart="23" format="32" series="1">
      <pivotArea type="data" outline="0" fieldPosition="0">
        <references count="2">
          <reference field="4294967294" count="1" selected="0">
            <x v="3"/>
          </reference>
          <reference field="0" count="1" selected="0">
            <x v="0"/>
          </reference>
        </references>
      </pivotArea>
    </chartFormat>
    <chartFormat chart="23" format="33" series="1">
      <pivotArea type="data" outline="0" fieldPosition="0">
        <references count="2">
          <reference field="4294967294" count="1" selected="0">
            <x v="3"/>
          </reference>
          <reference field="0" count="1" selected="0">
            <x v="9"/>
          </reference>
        </references>
      </pivotArea>
    </chartFormat>
    <chartFormat chart="23" format="34" series="1">
      <pivotArea type="data" outline="0" fieldPosition="0">
        <references count="2">
          <reference field="4294967294" count="1" selected="0">
            <x v="0"/>
          </reference>
          <reference field="0" count="1" selected="0">
            <x v="0"/>
          </reference>
        </references>
      </pivotArea>
    </chartFormat>
    <chartFormat chart="23" format="35" series="1">
      <pivotArea type="data" outline="0" fieldPosition="0">
        <references count="2">
          <reference field="4294967294" count="1" selected="0">
            <x v="0"/>
          </reference>
          <reference field="0" count="1" selected="0">
            <x v="9"/>
          </reference>
        </references>
      </pivotArea>
    </chartFormat>
    <chartFormat chart="23" format="36" series="1">
      <pivotArea type="data" outline="0" fieldPosition="0">
        <references count="2">
          <reference field="4294967294" count="1" selected="0">
            <x v="1"/>
          </reference>
          <reference field="0" count="1" selected="0">
            <x v="0"/>
          </reference>
        </references>
      </pivotArea>
    </chartFormat>
    <chartFormat chart="23" format="37" series="1">
      <pivotArea type="data" outline="0" fieldPosition="0">
        <references count="2">
          <reference field="4294967294" count="1" selected="0">
            <x v="1"/>
          </reference>
          <reference field="0" count="1" selected="0">
            <x v="1"/>
          </reference>
        </references>
      </pivotArea>
    </chartFormat>
  </chartFormats>
  <pivotHierarchies count="5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4" cacheId="67906532">
        <x15:pivotRow count="4">
          <x15:c>
            <x15:v>2000</x15:v>
            <x15:x in="0"/>
          </x15:c>
          <x15:c>
            <x15:v>95</x15:v>
            <x15:x in="0"/>
          </x15:c>
          <x15:c>
            <x15:v>95</x15:v>
            <x15:x in="0"/>
          </x15:c>
          <x15:c>
            <x15:v>2000</x15:v>
            <x15:x in="0"/>
          </x15:c>
        </x15:pivotRow>
        <x15:pivotRow count="4">
          <x15:c>
            <x15:v>40</x15:v>
            <x15:x in="0"/>
          </x15:c>
          <x15:c>
            <x15:v>95</x15:v>
            <x15:x in="0"/>
          </x15:c>
          <x15:c>
            <x15:v>95</x15:v>
            <x15:x in="0"/>
          </x15:c>
          <x15:c>
            <x15:v>40</x15:v>
            <x15:x in="0"/>
          </x15:c>
        </x15:pivotRow>
        <x15:pivotRow count="4">
          <x15:c>
            <x15:v>80</x15:v>
            <x15:x in="0"/>
          </x15:c>
          <x15:c>
            <x15:v>95</x15:v>
            <x15:x in="0"/>
          </x15:c>
          <x15:c>
            <x15:v>95</x15:v>
            <x15:x in="0"/>
          </x15:c>
          <x15:c>
            <x15:v>80</x15:v>
            <x15:x in="0"/>
          </x15:c>
        </x15:pivotRow>
        <x15:pivotRow count="4">
          <x15:c t="e">
            <x15:v/>
            <x15:x in="0"/>
          </x15:c>
          <x15:c>
            <x15:v>95</x15:v>
            <x15:x in="0"/>
          </x15:c>
          <x15:c>
            <x15:v>95</x15:v>
            <x15:x in="0"/>
          </x15:c>
          <x15:c t="e">
            <x15:v/>
            <x15:x in="0"/>
          </x15:c>
        </x15:pivotRow>
        <x15:pivotRow count="4">
          <x15:c>
            <x15:v>40</x15:v>
            <x15:x in="0"/>
          </x15:c>
          <x15:c>
            <x15:v>95</x15:v>
            <x15:x in="0"/>
          </x15:c>
          <x15:c>
            <x15:v>95</x15:v>
            <x15:x in="0"/>
          </x15:c>
          <x15:c>
            <x15:v>40</x15:v>
            <x15:x in="0"/>
          </x15:c>
        </x15:pivotRow>
        <x15:pivotRow count="4">
          <x15:c t="e">
            <x15:v/>
            <x15:x in="0"/>
          </x15:c>
          <x15:c>
            <x15:v>95</x15:v>
            <x15:x in="0"/>
          </x15:c>
          <x15:c>
            <x15:v>95</x15:v>
            <x15:x in="0"/>
          </x15:c>
          <x15:c t="e">
            <x15:v/>
            <x15:x in="0"/>
          </x15:c>
        </x15:pivotRow>
        <x15:pivotRow count="4">
          <x15:c t="e">
            <x15:v/>
            <x15:x in="0"/>
          </x15:c>
          <x15:c>
            <x15:v>95</x15:v>
            <x15:x in="0"/>
          </x15:c>
          <x15:c>
            <x15:v>95</x15:v>
            <x15:x in="0"/>
          </x15:c>
          <x15:c t="e">
            <x15:v/>
            <x15:x in="0"/>
          </x15:c>
        </x15:pivotRow>
        <x15:pivotRow count="4">
          <x15:c t="e">
            <x15:v/>
            <x15:x in="0"/>
          </x15:c>
          <x15:c>
            <x15:v>95</x15:v>
            <x15:x in="0"/>
          </x15:c>
          <x15:c>
            <x15:v>95</x15:v>
            <x15:x in="0"/>
          </x15:c>
          <x15:c t="e">
            <x15:v/>
            <x15:x in="0"/>
          </x15:c>
        </x15:pivotRow>
        <x15:pivotRow count="4">
          <x15:c t="e">
            <x15:v/>
            <x15:x in="0"/>
          </x15:c>
          <x15:c>
            <x15:v>95</x15:v>
            <x15:x in="0"/>
          </x15:c>
          <x15:c>
            <x15:v>95</x15:v>
            <x15:x in="0"/>
          </x15:c>
          <x15:c t="e">
            <x15:v/>
            <x15:x in="0"/>
          </x15:c>
        </x15:pivotRow>
        <x15:pivotRow count="4">
          <x15:c t="e">
            <x15:v/>
            <x15:x in="0"/>
          </x15:c>
          <x15:c>
            <x15:v>95</x15:v>
            <x15:x in="0"/>
          </x15:c>
          <x15:c>
            <x15:v>95</x15:v>
            <x15:x in="0"/>
          </x15:c>
          <x15:c t="e">
            <x15:v/>
            <x15:x in="0"/>
          </x15:c>
        </x15:pivotRow>
        <x15:pivotRow count="4">
          <x15:c>
            <x15:v>80</x15:v>
            <x15:x in="0"/>
          </x15:c>
          <x15:c>
            <x15:v>95</x15:v>
            <x15:x in="0"/>
          </x15:c>
          <x15:c>
            <x15:v>95</x15:v>
            <x15:x in="0"/>
          </x15:c>
          <x15:c>
            <x15:v>80</x15:v>
            <x15:x in="0"/>
          </x15:c>
        </x15:pivotRow>
        <x15:pivotRow count="4">
          <x15:c t="e">
            <x15:v/>
            <x15:x in="0"/>
          </x15:c>
          <x15:c>
            <x15:v>95</x15:v>
            <x15:x in="0"/>
          </x15:c>
          <x15:c>
            <x15:v>95</x15:v>
            <x15:x in="0"/>
          </x15:c>
          <x15:c t="e">
            <x15:v/>
            <x15:x in="0"/>
          </x15:c>
        </x15:pivotRow>
        <x15:pivotRow count="4">
          <x15:c>
            <x15:v>2240</x15:v>
            <x15:x in="0"/>
          </x15:c>
          <x15:c>
            <x15:v>1140</x15:v>
            <x15:x in="0"/>
          </x15:c>
          <x15:c>
            <x15:v>1140</x15:v>
            <x15:x in="0"/>
          </x15:c>
          <x15:c>
            <x15:v>2240</x15:v>
            <x15:x in="0"/>
          </x15:c>
        </x15:pivotRow>
      </x15:pivotTableData>
    </ext>
    <ext xmlns:x15="http://schemas.microsoft.com/office/spreadsheetml/2010/11/main" uri="{E67621CE-5B39-4880-91FE-76760E9C1902}">
      <x15:pivotTableUISettings>
        <x15:activeTabTopLevelEntity name="[Month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16DDC49-2941-4DD1-9E30-D9E3DD28D8DA}" name="PivotChartTable19" cacheId="58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7">
  <location ref="A1:E14"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fld="1" subtotal="count" baseField="0" baseItem="0"/>
    <dataField fld="2" subtotal="count" baseField="0" baseItem="0"/>
    <dataField name="Total Budget - Savings2" fld="3" subtotal="count" baseField="0" baseItem="0">
      <extLst>
        <ext xmlns:x14="http://schemas.microsoft.com/office/spreadsheetml/2009/9/main" uri="{E15A36E0-9728-4e99-A89B-3F7291B0FE68}">
          <x14:dataField sourceField="1" uniqueName="[__Xl2].[Measures].[Total Budget - Savings]"/>
        </ext>
      </extLst>
    </dataField>
    <dataField name="Total Actuals - Savings2" fld="4" subtotal="count" baseField="0" baseItem="0">
      <extLst>
        <ext xmlns:x14="http://schemas.microsoft.com/office/spreadsheetml/2009/9/main" uri="{E15A36E0-9728-4e99-A89B-3F7291B0FE68}">
          <x14:dataField sourceField="2" uniqueName="[__Xl2].[Measures].[Total Actuals - Savings]"/>
        </ext>
      </extLst>
    </dataField>
  </dataFields>
  <chartFormats count="4">
    <chartFormat chart="28" format="12" series="1">
      <pivotArea type="data" outline="0" fieldPosition="0">
        <references count="1">
          <reference field="4294967294" count="1" selected="0">
            <x v="0"/>
          </reference>
        </references>
      </pivotArea>
    </chartFormat>
    <chartFormat chart="28" format="13" series="1">
      <pivotArea type="data" outline="0" fieldPosition="0">
        <references count="1">
          <reference field="4294967294" count="1" selected="0">
            <x v="1"/>
          </reference>
        </references>
      </pivotArea>
    </chartFormat>
    <chartFormat chart="28" format="14" series="1">
      <pivotArea type="data" outline="0" fieldPosition="0">
        <references count="1">
          <reference field="4294967294" count="1" selected="0">
            <x v="2"/>
          </reference>
        </references>
      </pivotArea>
    </chartFormat>
    <chartFormat chart="28" format="15" series="1">
      <pivotArea type="data" outline="0" fieldPosition="0">
        <references count="1">
          <reference field="4294967294" count="1" selected="0">
            <x v="3"/>
          </reference>
        </references>
      </pivotArea>
    </chartFormat>
  </chartFormats>
  <pivotHierarchies count="5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13" columnCount="4" cacheId="2032805104">
        <x15:pivotRow count="4">
          <x15:c>
            <x15:v>670</x15:v>
            <x15:x in="0"/>
          </x15:c>
          <x15:c>
            <x15:v>550</x15:v>
            <x15:x in="0"/>
          </x15:c>
          <x15:c>
            <x15:v>670</x15:v>
            <x15:x in="0"/>
          </x15:c>
          <x15:c>
            <x15:v>550</x15:v>
            <x15:x in="0"/>
          </x15:c>
        </x15:pivotRow>
        <x15:pivotRow count="4">
          <x15:c>
            <x15:v>670</x15:v>
            <x15:x in="0"/>
          </x15:c>
          <x15:c>
            <x15:v>100</x15:v>
            <x15:x in="0"/>
          </x15:c>
          <x15:c>
            <x15:v>670</x15:v>
            <x15:x in="0"/>
          </x15:c>
          <x15:c>
            <x15:v>100</x15:v>
            <x15:x in="0"/>
          </x15:c>
        </x15:pivotRow>
        <x15:pivotRow count="4">
          <x15:c>
            <x15:v>670</x15:v>
            <x15:x in="0"/>
          </x15:c>
          <x15:c>
            <x15:v>50</x15:v>
            <x15:x in="0"/>
          </x15:c>
          <x15:c>
            <x15:v>670</x15:v>
            <x15:x in="0"/>
          </x15:c>
          <x15:c>
            <x15:v>50</x15:v>
            <x15:x in="0"/>
          </x15:c>
        </x15:pivotRow>
        <x15:pivotRow count="4">
          <x15:c>
            <x15:v>670</x15:v>
            <x15:x in="0"/>
          </x15:c>
          <x15:c>
            <x15:v>40</x15:v>
            <x15:x in="0"/>
          </x15:c>
          <x15:c>
            <x15:v>670</x15:v>
            <x15:x in="0"/>
          </x15:c>
          <x15:c>
            <x15:v>40</x15:v>
            <x15:x in="0"/>
          </x15:c>
        </x15:pivotRow>
        <x15:pivotRow count="4">
          <x15:c>
            <x15:v>670</x15:v>
            <x15:x in="0"/>
          </x15:c>
          <x15:c>
            <x15:v>200</x15:v>
            <x15:x in="0"/>
          </x15:c>
          <x15:c>
            <x15:v>670</x15:v>
            <x15:x in="0"/>
          </x15:c>
          <x15:c>
            <x15:v>200</x15:v>
            <x15:x in="0"/>
          </x15:c>
        </x15:pivotRow>
        <x15:pivotRow count="4">
          <x15:c>
            <x15:v>670</x15:v>
            <x15:x in="0"/>
          </x15:c>
          <x15:c>
            <x15:v>150</x15:v>
            <x15:x in="0"/>
          </x15:c>
          <x15:c>
            <x15:v>670</x15:v>
            <x15:x in="0"/>
          </x15:c>
          <x15:c>
            <x15:v>150</x15:v>
            <x15:x in="0"/>
          </x15:c>
        </x15:pivotRow>
        <x15:pivotRow count="4">
          <x15:c>
            <x15:v>670</x15:v>
            <x15:x in="0"/>
          </x15:c>
          <x15:c>
            <x15:v>120</x15:v>
            <x15:x in="0"/>
          </x15:c>
          <x15:c>
            <x15:v>670</x15:v>
            <x15:x in="0"/>
          </x15:c>
          <x15:c>
            <x15:v>120</x15:v>
            <x15:x in="0"/>
          </x15:c>
        </x15:pivotRow>
        <x15:pivotRow count="4">
          <x15:c>
            <x15:v>670</x15:v>
            <x15:x in="0"/>
          </x15:c>
          <x15:c>
            <x15:v>100</x15:v>
            <x15:x in="0"/>
          </x15:c>
          <x15:c>
            <x15:v>670</x15:v>
            <x15:x in="0"/>
          </x15:c>
          <x15:c>
            <x15:v>100</x15:v>
            <x15:x in="0"/>
          </x15:c>
        </x15:pivotRow>
        <x15:pivotRow count="4">
          <x15:c>
            <x15:v>670</x15:v>
            <x15:x in="0"/>
          </x15:c>
          <x15:c>
            <x15:v>100</x15:v>
            <x15:x in="0"/>
          </x15:c>
          <x15:c>
            <x15:v>670</x15:v>
            <x15:x in="0"/>
          </x15:c>
          <x15:c>
            <x15:v>100</x15:v>
            <x15:x in="0"/>
          </x15:c>
        </x15:pivotRow>
        <x15:pivotRow count="4">
          <x15:c>
            <x15:v>670</x15:v>
            <x15:x in="0"/>
          </x15:c>
          <x15:c>
            <x15:v>50</x15:v>
            <x15:x in="0"/>
          </x15:c>
          <x15:c>
            <x15:v>670</x15:v>
            <x15:x in="0"/>
          </x15:c>
          <x15:c>
            <x15:v>50</x15:v>
            <x15:x in="0"/>
          </x15:c>
        </x15:pivotRow>
        <x15:pivotRow count="4">
          <x15:c>
            <x15:v>670</x15:v>
            <x15:x in="0"/>
          </x15:c>
          <x15:c t="e">
            <x15:v/>
            <x15:x in="0"/>
          </x15:c>
          <x15:c>
            <x15:v>670</x15:v>
            <x15:x in="0"/>
          </x15:c>
          <x15:c t="e">
            <x15:v/>
            <x15:x in="0"/>
          </x15:c>
        </x15:pivotRow>
        <x15:pivotRow count="4">
          <x15:c>
            <x15:v>670</x15:v>
            <x15:x in="0"/>
          </x15:c>
          <x15:c>
            <x15:v>377</x15:v>
            <x15:x in="0"/>
          </x15:c>
          <x15:c>
            <x15:v>670</x15:v>
            <x15:x in="0"/>
          </x15:c>
          <x15:c>
            <x15:v>377</x15:v>
            <x15:x in="0"/>
          </x15:c>
        </x15:pivotRow>
        <x15:pivotRow count="4">
          <x15:c>
            <x15:v>8040</x15:v>
            <x15:x in="0"/>
          </x15:c>
          <x15:c>
            <x15:v>1837</x15:v>
            <x15:x in="0"/>
          </x15:c>
          <x15:c>
            <x15:v>8040</x15:v>
            <x15:x in="0"/>
          </x15:c>
          <x15:c>
            <x15:v>1837</x15:v>
            <x15:x in="0"/>
          </x15:c>
        </x15:pivotRow>
      </x15:pivotTableData>
    </ext>
    <ext xmlns:x15="http://schemas.microsoft.com/office/spreadsheetml/2010/11/main" uri="{E67621CE-5B39-4880-91FE-76760E9C1902}">
      <x15:pivotTableUISettings>
        <x15:activeTabTopLevelEntity name="[Month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786EF6C-9198-4AFD-B33C-CF94381FA9FD}" name="PivotTable4" cacheId="625" applyNumberFormats="0" applyBorderFormats="0" applyFontFormats="0" applyPatternFormats="0" applyAlignmentFormats="0" applyWidthHeightFormats="1" dataCaption="Values" tag="4abd5623-78f8-464a-a272-524f7c4d3240" updatedVersion="8" minRefreshableVersion="3" useAutoFormatting="1" subtotalHiddenItems="1" itemPrintTitles="1" createdVersion="8" indent="0" outline="1" outlineData="1" multipleFieldFilters="0">
  <location ref="AG41:AI44" firstHeaderRow="0"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2">
    <i>
      <x/>
    </i>
    <i i="1">
      <x v="1"/>
    </i>
  </colItems>
  <dataFields count="2">
    <dataField fld="1" subtotal="count" baseField="0" baseItem="0"/>
    <dataField fld="2"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C7FF65C-FFB1-4E92-A5B5-22D0AA45BB5B}" name="PivotTable3" cacheId="559" applyNumberFormats="0" applyBorderFormats="0" applyFontFormats="0" applyPatternFormats="0" applyAlignmentFormats="0" applyWidthHeightFormats="1" dataCaption="Values" tag="7085f677-5050-40b2-8e20-810e458507d2" updatedVersion="8" minRefreshableVersion="3" useAutoFormatting="1" subtotalHiddenItems="1" itemPrintTitles="1" createdVersion="8" indent="0" outline="1" outlineData="1" multipleFieldFilters="0">
  <location ref="AA14:AD15"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_tbl]"/>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C30A983-8655-4734-946B-3B5803E947E3}" name="PivotTable14" cacheId="553" applyNumberFormats="0" applyBorderFormats="0" applyFontFormats="0" applyPatternFormats="0" applyAlignmentFormats="0" applyWidthHeightFormats="1" dataCaption="Values" tag="a44d933b-adf8-4287-9a01-e7d886b16910" updatedVersion="8" minRefreshableVersion="3" useAutoFormatting="1" subtotalHiddenItems="1" itemPrintTitles="1" createdVersion="8" indent="0" outline="1" outlineData="1" multipleFieldFilters="0">
  <location ref="AG55:AI58" firstHeaderRow="0"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2">
    <i>
      <x/>
    </i>
    <i i="1">
      <x v="1"/>
    </i>
  </colItems>
  <dataFields count="2">
    <dataField fld="1" subtotal="count" baseField="0" baseItem="0"/>
    <dataField fld="2"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3B7D8DB-EB67-4842-B14B-0B527667373F}" name="PivotTable1" cacheId="550" applyNumberFormats="0" applyBorderFormats="0" applyFontFormats="0" applyPatternFormats="0" applyAlignmentFormats="0" applyWidthHeightFormats="1" dataCaption="Values" tag="d7463b8a-4291-417e-8139-0b9de6a15f81" updatedVersion="8" minRefreshableVersion="3" useAutoFormatting="1" subtotalHiddenItems="1" itemPrintTitles="1" createdVersion="8" indent="0" outline="1" outlineData="1" multipleFieldFilters="0">
  <location ref="AA3:AD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3">
    <format dxfId="211">
      <pivotArea type="all" dataOnly="0" outline="0" fieldPosition="0"/>
    </format>
    <format dxfId="210">
      <pivotArea outline="0" collapsedLevelsAreSubtotals="1" fieldPosition="0"/>
    </format>
    <format dxfId="209">
      <pivotArea dataOnly="0" labelOnly="1" outline="0" fieldPosition="0">
        <references count="1">
          <reference field="4294967294" count="4">
            <x v="0"/>
            <x v="1"/>
            <x v="2"/>
            <x v="3"/>
          </reference>
        </references>
      </pivotArea>
    </format>
  </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_tb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EA24F1B-E75F-4C7B-8553-8ACF42C460F3}" name="PivotTable7" cacheId="562" applyNumberFormats="0" applyBorderFormats="0" applyFontFormats="0" applyPatternFormats="0" applyAlignmentFormats="0" applyWidthHeightFormats="1" dataCaption="Values" tag="de0b017c-954a-40b3-956e-c9ff06dd46dc" updatedVersion="8" minRefreshableVersion="3" useAutoFormatting="1" subtotalHiddenItems="1" itemPrintTitles="1" createdVersion="8" indent="0" outline="1" outlineData="1" multipleFieldFilters="0">
  <location ref="AA22:AD23"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714D1DB-FCDA-4FED-8876-E7C2E643D65E}" name="PivotTable8" cacheId="565" applyNumberFormats="0" applyBorderFormats="0" applyFontFormats="0" applyPatternFormats="0" applyAlignmentFormats="0" applyWidthHeightFormats="1" dataCaption="Values" tag="b36400bc-8029-4ac2-8383-aceceb26e843" updatedVersion="8" minRefreshableVersion="3" useAutoFormatting="1" subtotalHiddenItems="1" itemPrintTitles="1" createdVersion="8" indent="0" outline="1" outlineData="1" multipleFieldFilters="0">
  <location ref="AG48:AI51" firstHeaderRow="0"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2">
    <i>
      <x/>
    </i>
    <i i="1">
      <x v="1"/>
    </i>
  </colItems>
  <dataFields count="2">
    <dataField fld="1" subtotal="count" baseField="0" baseItem="0"/>
    <dataField fld="2"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7B391A6-288E-4B6E-91A4-D1FCBCE92A84}" name="PivotTable2" cacheId="5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A8:AD9"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3DD9A85-2ABE-4301-80C7-A6308C92AB6C}" name="PivotTable9" cacheId="568" applyNumberFormats="0" applyBorderFormats="0" applyFontFormats="0" applyPatternFormats="0" applyAlignmentFormats="0" applyWidthHeightFormats="1" dataCaption="Values" tag="4dd5c296-0f7e-4dc1-822b-4954f94eb62a" updatedVersion="8" minRefreshableVersion="3" useAutoFormatting="1" subtotalHiddenItems="1" itemPrintTitles="1" createdVersion="8" indent="0" outline="1" outlineData="1" multipleFieldFilters="0">
  <location ref="AA55:AA5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4">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C1BEDC7-A751-4DDB-A7D6-235C4C7CF8F0}" name="PivotTable7" cacheId="574" applyNumberFormats="0" applyBorderFormats="0" applyFontFormats="0" applyPatternFormats="0" applyAlignmentFormats="0" applyWidthHeightFormats="1" dataCaption="Values" tag="c2f7ac54-3e29-4ca2-ba74-c2cc17d40aa3" updatedVersion="8" minRefreshableVersion="3" subtotalHiddenItems="1" rowGrandTotals="0" colGrandTotals="0" itemPrintTitles="1" createdVersion="8" indent="0" compact="0" outline="1" outlineData="1" compactData="0" multipleFieldFilters="0">
  <location ref="C40:F50" firstHeaderRow="0" firstDataRow="1" firstDataCol="1"/>
  <pivotFields count="5">
    <pivotField axis="axisRow" compact="0" allDrilled="1" showAll="0" defaultSubtotal="0" defaultAttributeDrillState="1">
      <items count="10">
        <item x="6"/>
        <item x="0"/>
        <item x="1"/>
        <item x="3"/>
        <item x="4"/>
        <item x="5"/>
        <item x="7"/>
        <item x="8"/>
        <item x="9"/>
        <item x="2"/>
      </items>
    </pivotField>
    <pivotField dataField="1" compact="0" showAll="0" defaultSubtotal="0"/>
    <pivotField dataField="1" compact="0" subtotalTop="0" showAll="0" defaultSubtotal="0"/>
    <pivotField dataField="1" compact="0" subtotalTop="0" showAll="0" defaultSubtotal="0"/>
    <pivotField compact="0" allDrilled="1" subtotalTop="0" showAll="0" dataSourceSort="1" defaultSubtotal="0" defaultAttributeDrillState="1"/>
  </pivotFields>
  <rowFields count="1">
    <field x="0"/>
  </rowFields>
  <rowItems count="10">
    <i>
      <x/>
    </i>
    <i>
      <x v="1"/>
    </i>
    <i>
      <x v="2"/>
    </i>
    <i>
      <x v="3"/>
    </i>
    <i>
      <x v="4"/>
    </i>
    <i>
      <x v="5"/>
    </i>
    <i>
      <x v="6"/>
    </i>
    <i>
      <x v="7"/>
    </i>
    <i>
      <x v="8"/>
    </i>
    <i>
      <x v="9"/>
    </i>
  </rowItems>
  <colFields count="1">
    <field x="-2"/>
  </colFields>
  <colItems count="3">
    <i>
      <x/>
    </i>
    <i i="1">
      <x v="1"/>
    </i>
    <i i="2">
      <x v="2"/>
    </i>
  </colItems>
  <dataFields count="3">
    <dataField name="Budget" fld="1" subtotal="count" baseField="0" baseItem="0"/>
    <dataField fld="2" subtotal="count" baseField="0" baseItem="0"/>
    <dataField name="Diff." fld="3" subtotal="count" baseField="0" baseItem="1"/>
  </dataFields>
  <formats count="34">
    <format dxfId="33">
      <pivotArea type="all" dataOnly="0" outline="0" fieldPosition="0"/>
    </format>
    <format dxfId="32">
      <pivotArea outline="0" collapsedLevelsAreSubtotals="1" fieldPosition="0"/>
    </format>
    <format dxfId="31">
      <pivotArea field="0" type="button" dataOnly="0" labelOnly="1" outline="0" axis="axisRow" fieldPosition="0"/>
    </format>
    <format dxfId="30">
      <pivotArea dataOnly="0" labelOnly="1" outline="0" fieldPosition="0">
        <references count="1">
          <reference field="0" count="0"/>
        </references>
      </pivotArea>
    </format>
    <format dxfId="29">
      <pivotArea dataOnly="0" labelOnly="1" grandRow="1" outline="0" fieldPosition="0"/>
    </format>
    <format dxfId="28">
      <pivotArea dataOnly="0" labelOnly="1" outline="0" fieldPosition="0">
        <references count="1">
          <reference field="4294967294" count="1">
            <x v="0"/>
          </reference>
        </references>
      </pivotArea>
    </format>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outline="0" fieldPosition="0">
        <references count="1">
          <reference field="0" count="0"/>
        </references>
      </pivotArea>
    </format>
    <format dxfId="23">
      <pivotArea dataOnly="0" labelOnly="1" grandRow="1" outline="0" fieldPosition="0"/>
    </format>
    <format dxfId="22">
      <pivotArea dataOnly="0" labelOnly="1" outline="0" fieldPosition="0">
        <references count="1">
          <reference field="4294967294" count="1">
            <x v="0"/>
          </reference>
        </references>
      </pivotArea>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outline="0" fieldPosition="0">
        <references count="1">
          <reference field="0" count="0"/>
        </references>
      </pivotArea>
    </format>
    <format dxfId="17">
      <pivotArea dataOnly="0" labelOnly="1" outline="0" fieldPosition="0">
        <references count="1">
          <reference field="4294967294" count="1">
            <x v="0"/>
          </reference>
        </references>
      </pivotArea>
    </format>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outline="0" fieldPosition="0">
        <references count="1">
          <reference field="0" count="0"/>
        </references>
      </pivotArea>
    </format>
    <format dxfId="12">
      <pivotArea dataOnly="0" labelOnly="1" outline="0" fieldPosition="0">
        <references count="1">
          <reference field="4294967294" count="1">
            <x v="0"/>
          </reference>
        </references>
      </pivotArea>
    </format>
    <format dxfId="11">
      <pivotArea dataOnly="0" outline="0" fieldPosition="0">
        <references count="1">
          <reference field="4294967294" count="1">
            <x v="0"/>
          </reference>
        </references>
      </pivotArea>
    </format>
    <format dxfId="10">
      <pivotArea outline="0" collapsedLevelsAreSubtotals="1" fieldPosition="0"/>
    </format>
    <format dxfId="9">
      <pivotArea dataOnly="0" labelOnly="1" outline="0" fieldPosition="0">
        <references count="1">
          <reference field="4294967294" count="3">
            <x v="0"/>
            <x v="1"/>
            <x v="2"/>
          </reference>
        </references>
      </pivotArea>
    </format>
    <format dxfId="8">
      <pivotArea outline="0" collapsedLevelsAreSubtotals="1" fieldPosition="0"/>
    </format>
    <format dxfId="7">
      <pivotArea dataOnly="0" labelOnly="1" outline="0" fieldPosition="0">
        <references count="1">
          <reference field="4294967294" count="3">
            <x v="0"/>
            <x v="1"/>
            <x v="2"/>
          </reference>
        </references>
      </pivotArea>
    </format>
    <format dxfId="6">
      <pivotArea outline="0" collapsedLevelsAreSubtotals="1" fieldPosition="0"/>
    </format>
    <format dxfId="5">
      <pivotArea dataOnly="0" labelOnly="1" outline="0" fieldPosition="0">
        <references count="1">
          <reference field="4294967294" count="3">
            <x v="0"/>
            <x v="1"/>
            <x v="2"/>
          </reference>
        </references>
      </pivotArea>
    </format>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outline="0" fieldPosition="0">
        <references count="1">
          <reference field="0" count="0"/>
        </references>
      </pivotArea>
    </format>
    <format dxfId="0">
      <pivotArea dataOnly="0" labelOnly="1" outline="0" fieldPosition="0">
        <references count="1">
          <reference field="4294967294" count="3">
            <x v="0"/>
            <x v="1"/>
            <x v="2"/>
          </reference>
        </references>
      </pivotArea>
    </format>
  </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Actual"/>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Budget"/>
    <pivotHierarchy dragToRow="0" dragToCol="0" dragToPage="0" dragToData="1"/>
    <pivotHierarchy dragToRow="0" dragToCol="0" dragToPage="0" dragToData="1"/>
    <pivotHierarchy dragToRow="0" dragToCol="0" dragToPage="0" dragToData="1" caption="Diff."/>
    <pivotHierarchy dragToRow="0" dragToCol="0" dragToPage="0" dragToData="1" caption="Diff."/>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Expense Pivot 1"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9E765D8-DF4A-4920-A35D-C9F0CA9E9FBA}" name="PivotTable2" cacheId="571" applyNumberFormats="0" applyBorderFormats="0" applyFontFormats="0" applyPatternFormats="0" applyAlignmentFormats="0" applyWidthHeightFormats="1" dataCaption="Values" tag="b11396f0-8d78-441a-9118-db50210fbfe0" updatedVersion="8" minRefreshableVersion="3" subtotalHiddenItems="1" rowGrandTotals="0" colGrandTotals="0" itemPrintTitles="1" createdVersion="8" indent="0" compact="0" compactData="0" multipleFieldFilters="0">
  <location ref="C16:F21" firstHeaderRow="0" firstDataRow="1" firstDataCol="1"/>
  <pivotFields count="6">
    <pivotField axis="axisRow" compact="0" allDrilled="1" outline="0" showAll="0" insertBlankRow="1" dataSourceSort="1" defaultSubtotal="0" defaultAttributeDrillState="1">
      <items count="5">
        <item x="0"/>
        <item x="1"/>
        <item x="2"/>
        <item x="3"/>
        <item x="4"/>
      </items>
    </pivotField>
    <pivotField compact="0" allDrilled="1" outline="0" showAll="0" insertBlankRow="1" dataSourceSort="1" defaultSubtotal="0" defaultAttributeDrillState="1"/>
    <pivotField dataField="1" compact="0" outline="0" subtotalTop="0" showAll="0" insertBlankRow="1" defaultSubtotal="0"/>
    <pivotField dataField="1" compact="0" outline="0" subtotalTop="0" showAll="0" insertBlankRow="1" defaultSubtotal="0"/>
    <pivotField dataField="1" compact="0" outline="0" subtotalTop="0" showAll="0" insertBlankRow="1" defaultSubtotal="0"/>
    <pivotField compact="0" allDrilled="1" outline="0" subtotalTop="0" showAll="0" insertBlankRow="1" dataSourceSort="1" defaultSubtotal="0" defaultAttributeDrillState="1"/>
  </pivotFields>
  <rowFields count="1">
    <field x="0"/>
  </rowFields>
  <rowItems count="5">
    <i>
      <x/>
    </i>
    <i>
      <x v="1"/>
    </i>
    <i>
      <x v="2"/>
    </i>
    <i>
      <x v="3"/>
    </i>
    <i>
      <x v="4"/>
    </i>
  </rowItems>
  <colFields count="1">
    <field x="-2"/>
  </colFields>
  <colItems count="3">
    <i>
      <x/>
    </i>
    <i i="1">
      <x v="1"/>
    </i>
    <i i="2">
      <x v="2"/>
    </i>
  </colItems>
  <dataFields count="3">
    <dataField name="Budget" fld="2" subtotal="count" baseField="0" baseItem="0"/>
    <dataField name="Actual" fld="3" subtotal="count" baseField="0" baseItem="0"/>
    <dataField name="Diff." fld="4" subtotal="count" baseField="0" baseItem="0"/>
  </dataFields>
  <formats count="28">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outline="0" fieldPosition="0">
        <references count="1">
          <reference field="0" count="0"/>
        </references>
      </pivotArea>
    </format>
    <format dxfId="57">
      <pivotArea dataOnly="0" labelOnly="1" outline="0" fieldPosition="0">
        <references count="1">
          <reference field="4294967294" count="3">
            <x v="0"/>
            <x v="1"/>
            <x v="2"/>
          </reference>
        </references>
      </pivotArea>
    </format>
    <format dxfId="56">
      <pivotArea outline="0" fieldPosition="0">
        <references count="1">
          <reference field="4294967294" count="1" selected="0">
            <x v="0"/>
          </reference>
        </references>
      </pivotArea>
    </format>
    <format dxfId="55">
      <pivotArea dataOnly="0" labelOnly="1" outline="0" fieldPosition="0">
        <references count="1">
          <reference field="4294967294" count="1">
            <x v="0"/>
          </reference>
        </references>
      </pivotArea>
    </format>
    <format dxfId="54">
      <pivotArea outline="0" fieldPosition="0">
        <references count="1">
          <reference field="4294967294" count="2" selected="0">
            <x v="1"/>
            <x v="2"/>
          </reference>
        </references>
      </pivotArea>
    </format>
    <format dxfId="53">
      <pivotArea dataOnly="0" labelOnly="1" outline="0" fieldPosition="0">
        <references count="1">
          <reference field="4294967294" count="2">
            <x v="1"/>
            <x v="2"/>
          </reference>
        </references>
      </pivotArea>
    </format>
    <format dxfId="52">
      <pivotArea field="0" type="button" dataOnly="0" labelOnly="1" outline="0" axis="axisRow" fieldPosition="0"/>
    </format>
    <format dxfId="51">
      <pivotArea dataOnly="0" labelOnly="1" outline="0" fieldPosition="0">
        <references count="1">
          <reference field="0" count="0"/>
        </references>
      </pivotArea>
    </format>
    <format dxfId="50">
      <pivotArea field="0" type="button" dataOnly="0" labelOnly="1" outline="0" axis="axisRow" fieldPosition="0"/>
    </format>
    <format dxfId="49">
      <pivotArea dataOnly="0" labelOnly="1" outline="0" fieldPosition="0">
        <references count="1">
          <reference field="4294967294" count="3">
            <x v="0"/>
            <x v="1"/>
            <x v="2"/>
          </reference>
        </references>
      </pivotArea>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outline="0" fieldPosition="0">
        <references count="1">
          <reference field="0" count="0"/>
        </references>
      </pivotArea>
    </format>
    <format dxfId="44">
      <pivotArea dataOnly="0" labelOnly="1" outline="0" fieldPosition="0">
        <references count="1">
          <reference field="4294967294" count="3">
            <x v="0"/>
            <x v="1"/>
            <x v="2"/>
          </reference>
        </references>
      </pivotArea>
    </format>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dataOnly="0" labelOnly="1" outline="0" fieldPosition="0">
        <references count="1">
          <reference field="0" count="0"/>
        </references>
      </pivotArea>
    </format>
    <format dxfId="39">
      <pivotArea dataOnly="0" labelOnly="1" outline="0" fieldPosition="0">
        <references count="1">
          <reference field="4294967294" count="3">
            <x v="0"/>
            <x v="1"/>
            <x v="2"/>
          </reference>
        </references>
      </pivotArea>
    </format>
    <format dxfId="38">
      <pivotArea type="all" dataOnly="0" outline="0" fieldPosition="0"/>
    </format>
    <format dxfId="37">
      <pivotArea outline="0" collapsedLevelsAreSubtotals="1" fieldPosition="0"/>
    </format>
    <format dxfId="36">
      <pivotArea field="0" type="button" dataOnly="0" labelOnly="1" outline="0" axis="axisRow" fieldPosition="0"/>
    </format>
    <format dxfId="35">
      <pivotArea dataOnly="0" labelOnly="1" outline="0" fieldPosition="0">
        <references count="1">
          <reference field="0" count="0"/>
        </references>
      </pivotArea>
    </format>
    <format dxfId="34">
      <pivotArea dataOnly="0" labelOnly="1" outline="0" fieldPosition="0">
        <references count="1">
          <reference field="4294967294" count="3">
            <x v="0"/>
            <x v="1"/>
            <x v="2"/>
          </reference>
        </references>
      </pivotArea>
    </format>
  </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ategory_Sub].[Category].&amp;[Income]"/>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ctual"/>
    <pivotHierarchy dragToData="1" caption="Budget"/>
    <pivotHierarchy dragToData="1"/>
    <pivotHierarchy dragToRow="0" dragToCol="0" dragToPage="0" dragToData="1"/>
    <pivotHierarchy dragToRow="0" dragToCol="0" dragToPage="0" dragToData="1" caption="Actual"/>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Budget"/>
    <pivotHierarchy dragToRow="0" dragToCol="0" dragToPage="0" dragToData="1"/>
    <pivotHierarchy dragToRow="0" dragToCol="0" dragToPage="0" dragToData="1"/>
    <pivotHierarchy dragToRow="0" dragToCol="0" dragToPage="0" dragToData="1"/>
    <pivotHierarchy dragToRow="0" dragToCol="0" dragToPage="0" dragToData="1" caption="Diff."/>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Income Pivot"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_tbl]"/>
        <x15:activeTabTopLevelEntity name="[Piv_Merge]"/>
        <x15:activeTabTopLevelEntity name="[Category_Sub]"/>
        <x15:activeTabTopLevelEntity name="[Month_Sub]"/>
      </x15:pivotTableUISettings>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818B9CF-B559-49FA-879E-A6FA7FB8B0D9}" name="PivotTable5" cacheId="580" applyNumberFormats="0" applyBorderFormats="0" applyFontFormats="0" applyPatternFormats="0" applyAlignmentFormats="0" applyWidthHeightFormats="1" dataCaption="Values" tag="14aabd01-0912-4687-8813-72c72e8549f7" updatedVersion="8" minRefreshableVersion="3" subtotalHiddenItems="1" rowGrandTotals="0" colGrandTotals="0" itemPrintTitles="1" createdVersion="8" indent="0" compact="0" outline="1" outlineData="1" compactData="0" multipleFieldFilters="0">
  <location ref="C98:F102" firstHeaderRow="0" firstDataRow="1" firstDataCol="1"/>
  <pivotFields count="5">
    <pivotField axis="axisRow" compact="0" allDrilled="1" showAll="0" dataSourceSort="1" defaultSubtotal="0" defaultAttributeDrillState="1">
      <items count="4">
        <item x="0"/>
        <item x="1"/>
        <item x="2"/>
        <item x="3"/>
      </items>
    </pivotField>
    <pivotField dataField="1" compact="0" showAll="0" defaultSubtotal="0"/>
    <pivotField dataField="1" compact="0" showAll="0" defaultSubtotal="0"/>
    <pivotField dataField="1" compact="0" subtotalTop="0" showAll="0" defaultSubtotal="0"/>
    <pivotField compact="0" allDrilled="1" subtotalTop="0" showAll="0" dataSourceSort="1" defaultSubtotal="0" defaultAttributeDrillState="1"/>
  </pivotFields>
  <rowFields count="1">
    <field x="0"/>
  </rowFields>
  <rowItems count="4">
    <i>
      <x/>
    </i>
    <i>
      <x v="1"/>
    </i>
    <i>
      <x v="2"/>
    </i>
    <i>
      <x v="3"/>
    </i>
  </rowItems>
  <colFields count="1">
    <field x="-2"/>
  </colFields>
  <colItems count="3">
    <i>
      <x/>
    </i>
    <i i="1">
      <x v="1"/>
    </i>
    <i i="2">
      <x v="2"/>
    </i>
  </colItems>
  <dataFields count="3">
    <dataField name="Budget" fld="1" subtotal="count" baseField="0" baseItem="0"/>
    <dataField name="Actual" fld="2" subtotal="count" baseField="0" baseItem="0"/>
    <dataField fld="3" subtotal="count" baseField="0" baseItem="0"/>
  </dataFields>
  <formats count="25">
    <format dxfId="86">
      <pivotArea type="all" dataOnly="0" outline="0" fieldPosition="0"/>
    </format>
    <format dxfId="85">
      <pivotArea outline="0" collapsedLevelsAreSubtotals="1" fieldPosition="0"/>
    </format>
    <format dxfId="84">
      <pivotArea field="0" type="button" dataOnly="0" labelOnly="1" outline="0" axis="axisRow" fieldPosition="0"/>
    </format>
    <format dxfId="83">
      <pivotArea dataOnly="0" labelOnly="1" outline="0" fieldPosition="0">
        <references count="1">
          <reference field="0" count="0"/>
        </references>
      </pivotArea>
    </format>
    <format dxfId="82">
      <pivotArea dataOnly="0" labelOnly="1" outline="0" fieldPosition="0">
        <references count="1">
          <reference field="4294967294" count="2">
            <x v="0"/>
            <x v="1"/>
          </reference>
        </references>
      </pivotArea>
    </format>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outline="0" fieldPosition="0">
        <references count="1">
          <reference field="0" count="0"/>
        </references>
      </pivotArea>
    </format>
    <format dxfId="77">
      <pivotArea dataOnly="0" labelOnly="1" outline="0" fieldPosition="0">
        <references count="1">
          <reference field="4294967294" count="2">
            <x v="0"/>
            <x v="1"/>
          </reference>
        </references>
      </pivotArea>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outline="0" fieldPosition="0">
        <references count="1">
          <reference field="0" count="0"/>
        </references>
      </pivotArea>
    </format>
    <format dxfId="72">
      <pivotArea dataOnly="0" labelOnly="1" outline="0" fieldPosition="0">
        <references count="1">
          <reference field="4294967294" count="2">
            <x v="0"/>
            <x v="1"/>
          </reference>
        </references>
      </pivotArea>
    </format>
    <format dxfId="71">
      <pivotArea type="all" dataOnly="0" outline="0" fieldPosition="0"/>
    </format>
    <format dxfId="70">
      <pivotArea outline="0" collapsedLevelsAreSubtotals="1" fieldPosition="0"/>
    </format>
    <format dxfId="69">
      <pivotArea field="0" type="button" dataOnly="0" labelOnly="1" outline="0" axis="axisRow" fieldPosition="0"/>
    </format>
    <format dxfId="68">
      <pivotArea dataOnly="0" labelOnly="1" outline="0" fieldPosition="0">
        <references count="1">
          <reference field="0" count="0"/>
        </references>
      </pivotArea>
    </format>
    <format dxfId="67">
      <pivotArea dataOnly="0" labelOnly="1" outline="0" fieldPosition="0">
        <references count="1">
          <reference field="4294967294" count="2">
            <x v="0"/>
            <x v="1"/>
          </reference>
        </references>
      </pivotArea>
    </format>
    <format dxfId="66">
      <pivotArea type="all" dataOnly="0" outline="0" fieldPosition="0"/>
    </format>
    <format dxfId="65">
      <pivotArea outline="0" collapsedLevelsAreSubtotals="1" fieldPosition="0"/>
    </format>
    <format dxfId="64">
      <pivotArea field="0" type="button" dataOnly="0" labelOnly="1" outline="0" axis="axisRow" fieldPosition="0"/>
    </format>
    <format dxfId="63">
      <pivotArea dataOnly="0" labelOnly="1" outline="0" fieldPosition="0">
        <references count="1">
          <reference field="0" count="0"/>
        </references>
      </pivotArea>
    </format>
    <format dxfId="62">
      <pivotArea dataOnly="0" labelOnly="1" outline="0" fieldPosition="0">
        <references count="1">
          <reference field="4294967294" count="2">
            <x v="0"/>
            <x v="1"/>
          </reference>
        </references>
      </pivotArea>
    </format>
  </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ctual"/>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Budget"/>
    <pivotHierarchy dragToRow="0" dragToCol="0" dragToPage="0" dragToData="1"/>
    <pivotHierarchy dragToRow="0" dragToCol="0" dragToPage="0" dragToData="1"/>
    <pivotHierarchy dragToRow="0" dragToCol="0" dragToPage="0" dragToData="1"/>
    <pivotHierarchy dragToRow="0" dragToCol="0" dragToPage="0" dragToData="1" caption="Diff."/>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Savings Pivot"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EFEB615-E10A-48CE-B9B2-9A6774AC8B37}" name="PivotTable13" cacheId="577" applyNumberFormats="0" applyBorderFormats="0" applyFontFormats="0" applyPatternFormats="0" applyAlignmentFormats="0" applyWidthHeightFormats="1" dataCaption="Values" tag="3ceb1ddb-73e2-4a8b-bffc-3fce171e3a5b" updatedVersion="8" minRefreshableVersion="3" subtotalHiddenItems="1" rowGrandTotals="0" colGrandTotals="0" itemPrintTitles="1" createdVersion="8" indent="0" compact="0" outline="1" outlineData="1" compactData="0" multipleFieldFilters="0">
  <location ref="C73:F75" firstHeaderRow="0" firstDataRow="1" firstDataCol="1"/>
  <pivotFields count="5">
    <pivotField axis="axisRow" compact="0" allDrilled="1" showAll="0" dataSourceSort="1" defaultSubtotal="0" defaultAttributeDrillState="1">
      <items count="2">
        <item x="0"/>
        <item x="1"/>
      </items>
    </pivotField>
    <pivotField dataField="1" compact="0" showAll="0" defaultSubtotal="0"/>
    <pivotField dataField="1" compact="0" showAll="0" defaultSubtotal="0"/>
    <pivotField dataField="1" compact="0" showAll="0" defaultSubtotal="0"/>
    <pivotField compact="0" allDrilled="1" subtotalTop="0" showAll="0" dataSourceSort="1" defaultSubtotal="0" defaultAttributeDrillState="1"/>
  </pivotFields>
  <rowFields count="1">
    <field x="0"/>
  </rowFields>
  <rowItems count="2">
    <i>
      <x/>
    </i>
    <i>
      <x v="1"/>
    </i>
  </rowItems>
  <colFields count="1">
    <field x="-2"/>
  </colFields>
  <colItems count="3">
    <i>
      <x/>
    </i>
    <i i="1">
      <x v="1"/>
    </i>
    <i i="2">
      <x v="2"/>
    </i>
  </colItems>
  <dataFields count="3">
    <dataField name="Budget" fld="1" subtotal="count" baseField="0" baseItem="0"/>
    <dataField name="Actual" fld="2" subtotal="count" baseField="0" baseItem="0"/>
    <dataField name="Diff." fld="3" subtotal="count" baseField="0" baseItem="0"/>
  </dataFields>
  <formats count="27">
    <format dxfId="113">
      <pivotArea type="all" dataOnly="0" outline="0" fieldPosition="0"/>
    </format>
    <format dxfId="112">
      <pivotArea outline="0" collapsedLevelsAreSubtotals="1" fieldPosition="0"/>
    </format>
    <format dxfId="111">
      <pivotArea field="0" type="button" dataOnly="0" labelOnly="1" outline="0" axis="axisRow" fieldPosition="0"/>
    </format>
    <format dxfId="110">
      <pivotArea dataOnly="0" labelOnly="1" outline="0" fieldPosition="0">
        <references count="1">
          <reference field="0" count="0"/>
        </references>
      </pivotArea>
    </format>
    <format dxfId="109">
      <pivotArea dataOnly="0" labelOnly="1" outline="0" fieldPosition="0">
        <references count="1">
          <reference field="4294967294" count="3">
            <x v="0"/>
            <x v="1"/>
            <x v="2"/>
          </reference>
        </references>
      </pivotArea>
    </format>
    <format dxfId="108">
      <pivotArea type="all" dataOnly="0" outline="0" fieldPosition="0"/>
    </format>
    <format dxfId="107">
      <pivotArea outline="0" collapsedLevelsAreSubtotals="1" fieldPosition="0"/>
    </format>
    <format dxfId="106">
      <pivotArea field="0" type="button" dataOnly="0" labelOnly="1" outline="0" axis="axisRow" fieldPosition="0"/>
    </format>
    <format dxfId="105">
      <pivotArea dataOnly="0" labelOnly="1" outline="0" fieldPosition="0">
        <references count="1">
          <reference field="0" count="0"/>
        </references>
      </pivotArea>
    </format>
    <format dxfId="104">
      <pivotArea dataOnly="0" labelOnly="1" outline="0" fieldPosition="0">
        <references count="1">
          <reference field="4294967294" count="3">
            <x v="0"/>
            <x v="1"/>
            <x v="2"/>
          </reference>
        </references>
      </pivotArea>
    </format>
    <format dxfId="103">
      <pivotArea type="all" dataOnly="0" outline="0" fieldPosition="0"/>
    </format>
    <format dxfId="102">
      <pivotArea outline="0" collapsedLevelsAreSubtotals="1" fieldPosition="0"/>
    </format>
    <format dxfId="101">
      <pivotArea field="0" type="button" dataOnly="0" labelOnly="1" outline="0" axis="axisRow" fieldPosition="0"/>
    </format>
    <format dxfId="100">
      <pivotArea dataOnly="0" labelOnly="1" outline="0" fieldPosition="0">
        <references count="1">
          <reference field="0" count="0"/>
        </references>
      </pivotArea>
    </format>
    <format dxfId="99">
      <pivotArea dataOnly="0" labelOnly="1" outline="0" fieldPosition="0">
        <references count="1">
          <reference field="4294967294" count="3">
            <x v="0"/>
            <x v="1"/>
            <x v="2"/>
          </reference>
        </references>
      </pivotArea>
    </format>
    <format dxfId="98">
      <pivotArea type="all" dataOnly="0" outline="0" fieldPosition="0"/>
    </format>
    <format dxfId="97">
      <pivotArea outline="0" collapsedLevelsAreSubtotals="1" fieldPosition="0"/>
    </format>
    <format dxfId="96">
      <pivotArea dataOnly="0" labelOnly="1" outline="0" fieldPosition="0">
        <references count="1">
          <reference field="4294967294" count="3">
            <x v="0"/>
            <x v="1"/>
            <x v="2"/>
          </reference>
        </references>
      </pivotArea>
    </format>
    <format dxfId="95">
      <pivotArea outline="0" collapsedLevelsAreSubtotals="1" fieldPosition="0"/>
    </format>
    <format dxfId="94">
      <pivotArea dataOnly="0" labelOnly="1" outline="0" fieldPosition="0">
        <references count="1">
          <reference field="4294967294" count="3">
            <x v="0"/>
            <x v="1"/>
            <x v="2"/>
          </reference>
        </references>
      </pivotArea>
    </format>
    <format dxfId="93">
      <pivotArea outline="0" collapsedLevelsAreSubtotals="1" fieldPosition="0"/>
    </format>
    <format dxfId="92">
      <pivotArea dataOnly="0" labelOnly="1" outline="0" fieldPosition="0">
        <references count="1">
          <reference field="4294967294" count="3">
            <x v="0"/>
            <x v="1"/>
            <x v="2"/>
          </reference>
        </references>
      </pivotArea>
    </format>
    <format dxfId="91">
      <pivotArea type="all" dataOnly="0" outline="0" fieldPosition="0"/>
    </format>
    <format dxfId="90">
      <pivotArea outline="0" collapsedLevelsAreSubtotals="1" fieldPosition="0"/>
    </format>
    <format dxfId="89">
      <pivotArea field="0" type="button" dataOnly="0" labelOnly="1" outline="0" axis="axisRow" fieldPosition="0"/>
    </format>
    <format dxfId="88">
      <pivotArea dataOnly="0" labelOnly="1" outline="0" fieldPosition="0">
        <references count="1">
          <reference field="0" count="0"/>
        </references>
      </pivotArea>
    </format>
    <format dxfId="87">
      <pivotArea dataOnly="0" labelOnly="1" outline="0" fieldPosition="0">
        <references count="1">
          <reference field="4294967294" count="3">
            <x v="0"/>
            <x v="1"/>
            <x v="2"/>
          </reference>
        </references>
      </pivotArea>
    </format>
  </formats>
  <pivotHierarchies count="54">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Actual"/>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Budget"/>
    <pivotHierarchy dragToRow="0" dragToCol="0" dragToPage="0" dragToData="1"/>
    <pivotHierarchy dragToRow="0" dragToCol="0" dragToPage="0" dragToData="1"/>
    <pivotHierarchy dragToRow="0" dragToCol="0" dragToPage="0" dragToData="1"/>
    <pivotHierarchy dragToRow="0" dragToCol="0" dragToPage="0" dragToData="1" caption="Diff."/>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Debt Pivot"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_Sub]"/>
        <x15:activeTabTopLevelEntity name="[Transaction_tbl]"/>
        <x15:activeTabTopLevelEntity name="[Piv_Merge]"/>
        <x15:activeTabTopLevelEntity name="[Month_Sub]"/>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56DD94C-9560-4716-8D15-EE38A24774A9}" sourceName="[Month_Sub].[Month]">
  <pivotTables>
    <pivotTable tabId="3" name="PivotTable1"/>
    <pivotTable tabId="3" name="PivotTable14"/>
    <pivotTable tabId="3" name="PivotTable2"/>
    <pivotTable tabId="3" name="PivotTable3"/>
    <pivotTable tabId="3" name="PivotTable4"/>
    <pivotTable tabId="3" name="PivotTable7"/>
    <pivotTable tabId="3" name="PivotTable8"/>
    <pivotTable tabId="3" name="PivotTable9"/>
    <pivotTable tabId="8" name="PivotTable2"/>
    <pivotTable tabId="8" name="PivotTable7"/>
    <pivotTable tabId="8" name="PivotTable13"/>
    <pivotTable tabId="8" name="PivotTable5"/>
  </pivotTables>
  <data>
    <olap pivotCacheId="1304414501">
      <levels count="2">
        <level uniqueName="[Month_Sub].[Month].[(All)]" sourceCaption="(All)" count="0"/>
        <level uniqueName="[Month_Sub].[Month].[Month]" sourceCaption="Month" count="12">
          <ranges>
            <range startItem="0">
              <i n="[Month_Sub].[Month].&amp;[Jan]" c="Jan"/>
              <i n="[Month_Sub].[Month].&amp;[Feb]" c="Feb"/>
              <i n="[Month_Sub].[Month].&amp;[Mar]" c="Mar"/>
              <i n="[Month_Sub].[Month].&amp;[Apr]" c="Apr"/>
              <i n="[Month_Sub].[Month].&amp;[May]" c="May"/>
              <i n="[Month_Sub].[Month].&amp;[Jun]" c="Jun"/>
              <i n="[Month_Sub].[Month].&amp;[Jul]" c="Jul"/>
              <i n="[Month_Sub].[Month].&amp;[Aug]" c="Aug"/>
              <i n="[Month_Sub].[Month].&amp;[Sep]" c="Sep"/>
              <i n="[Month_Sub].[Month].&amp;[Oct]" c="Oct"/>
              <i n="[Month_Sub].[Month].&amp;[Nov]" c="Nov"/>
              <i n="[Month_Sub].[Month].&amp;[Dec]" c="Dec"/>
            </range>
          </ranges>
        </level>
      </levels>
      <selections count="1">
        <selection n="[Month_Sub].[Month].[All]"/>
      </selections>
    </olap>
  </data>
  <extLst>
    <x:ext xmlns:x15="http://schemas.microsoft.com/office/spreadsheetml/2010/11/main" uri="{03082B11-2C62-411c-B77F-237D8FCFBE4C}">
      <x15:slicerCachePivotTables>
        <pivotTable tabId="4294967295" name="PivotChartTable19"/>
        <pivotTable tabId="4294967295" name="PivotChartTable17"/>
        <pivotTable tabId="4294967295" name="PivotChartTable16"/>
        <pivotTable tabId="4294967295" name="PivotChartTable15"/>
        <pivotTable tabId="4294967295" name="PivotChartTable14"/>
        <pivotTable tabId="4294967295" name="PivotChartTable13"/>
        <pivotTable tabId="4294967295" name="PivotChartTable11"/>
        <pivotTable tabId="4294967295" name="PivotChartTable10"/>
        <pivotTable tabId="4294967295" name="PivotChartTable9"/>
        <pivotTable tabId="4294967295" name="PivotChartTable8"/>
        <pivotTable tabId="4294967295" name="PivotChartTable7"/>
        <pivotTable tabId="4294967295" name="PivotChartTable2"/>
        <pivotTable tabId="4294967295" name="PivotChartTable5"/>
        <pivotTable tabId="4294967295" name="PivotChartTable4"/>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2A32FCC-2597-4600-90AE-21DE83007758}" cache="Slicer_Month" caption="Month" level="1" style="Slicer Month"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DC2D6D-5EA8-4D7F-A6F0-5CB4B292B04A}" name="Table2" displayName="Table2" ref="B3:Q13" totalsRowShown="0" headerRowDxfId="208" dataDxfId="207">
  <autoFilter ref="B3:Q13" xr:uid="{EFDC2D6D-5EA8-4D7F-A6F0-5CB4B292B04A}"/>
  <tableColumns count="16">
    <tableColumn id="1" xr3:uid="{32A7B812-3620-4272-A1B8-19B1273C9F52}" name="Subcategory" dataDxfId="206">
      <calculatedColumnFormula>IF('Initial_Set-Up'!D13="", "", 'Initial_Set-Up'!D13)</calculatedColumnFormula>
    </tableColumn>
    <tableColumn id="2" xr3:uid="{A625E92E-5A5C-47EB-B688-6B8CC608A68F}" name="Type?" dataDxfId="205">
      <calculatedColumnFormula>IF('Initial_Set-Up'!E13="", "", 'Initial_Set-Up'!E13)</calculatedColumnFormula>
    </tableColumn>
    <tableColumn id="3" xr3:uid="{91BAB8EA-9176-4556-93C6-00F67809EB7A}" name="Choice" dataDxfId="204">
      <calculatedColumnFormula>IF(C4=TRUE, "Active", "Passive")</calculatedColumnFormula>
    </tableColumn>
    <tableColumn id="4" xr3:uid="{E8348E6F-DCF4-4892-A8C7-19F48652DA04}" name="Jan" dataDxfId="203">
      <calculatedColumnFormula>Budget!G18</calculatedColumnFormula>
    </tableColumn>
    <tableColumn id="5" xr3:uid="{BD4165DF-5EA8-457F-8518-44B6B7E80651}" name="Feb" dataDxfId="202">
      <calculatedColumnFormula>Budget!H18</calculatedColumnFormula>
    </tableColumn>
    <tableColumn id="6" xr3:uid="{B8F81267-4CF9-485D-91C6-509230CCBDCB}" name="Mar" dataDxfId="201">
      <calculatedColumnFormula>Budget!I18</calculatedColumnFormula>
    </tableColumn>
    <tableColumn id="7" xr3:uid="{1B20785F-F1F7-4E80-A54C-60F871A7F9E4}" name="Apr" dataDxfId="200">
      <calculatedColumnFormula>Budget!J18</calculatedColumnFormula>
    </tableColumn>
    <tableColumn id="8" xr3:uid="{AC41662E-6C39-47DB-AAB3-64D1C69823F0}" name="May" dataDxfId="199">
      <calculatedColumnFormula>Budget!K18</calculatedColumnFormula>
    </tableColumn>
    <tableColumn id="9" xr3:uid="{FAE89B54-F584-4CD2-B935-800A4A7A04F1}" name="Jun" dataDxfId="198">
      <calculatedColumnFormula>Budget!L18</calculatedColumnFormula>
    </tableColumn>
    <tableColumn id="10" xr3:uid="{B3636D64-D718-4B2D-A6F2-6D1CBBE0D724}" name="Jul" dataDxfId="197">
      <calculatedColumnFormula>Budget!M18</calculatedColumnFormula>
    </tableColumn>
    <tableColumn id="11" xr3:uid="{E86C882F-CB4C-4BA9-ACC1-9C4A59EF9036}" name="Aug" dataDxfId="196">
      <calculatedColumnFormula>Budget!N18</calculatedColumnFormula>
    </tableColumn>
    <tableColumn id="12" xr3:uid="{3BB705AC-40FA-4F3E-A3D6-C9FC9D768F64}" name="Sept" dataDxfId="195">
      <calculatedColumnFormula>Budget!O18</calculatedColumnFormula>
    </tableColumn>
    <tableColumn id="13" xr3:uid="{6337A942-44CE-43B5-A030-A9430D108BB0}" name="Oct" dataDxfId="194">
      <calculatedColumnFormula>Budget!P18</calculatedColumnFormula>
    </tableColumn>
    <tableColumn id="14" xr3:uid="{98E149D5-C598-4B1A-81BA-A552A31BA070}" name="Nov" dataDxfId="193">
      <calculatedColumnFormula>Budget!Q18</calculatedColumnFormula>
    </tableColumn>
    <tableColumn id="15" xr3:uid="{02C9121B-8AEB-4BC5-89EF-76081D68A02E}" name="Dec" dataDxfId="192">
      <calculatedColumnFormula>Budget!R18</calculatedColumnFormula>
    </tableColumn>
    <tableColumn id="16" xr3:uid="{DAA57696-98D8-4EC6-A00F-39D4F99DC582}" name="Total Budget" dataDxfId="191">
      <calculatedColumnFormula>IF(Budget!S18="", "", Budget!S18)</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D13456-6F47-4728-86CB-6E8CA7C2F3BC}" name="Table3" displayName="Table3" ref="B17:Q37" totalsRowShown="0" headerRowDxfId="190" dataDxfId="189">
  <autoFilter ref="B17:Q37" xr:uid="{B3D13456-6F47-4728-86CB-6E8CA7C2F3BC}"/>
  <tableColumns count="16">
    <tableColumn id="1" xr3:uid="{059BACB3-6342-48C6-9277-7A61888C1BAA}" name="Subcategory" dataDxfId="188">
      <calculatedColumnFormula>IF('Initial_Set-Up'!I13="","",'Initial_Set-Up'!I13)</calculatedColumnFormula>
    </tableColumn>
    <tableColumn id="2" xr3:uid="{2AD11EF5-948B-4028-BE75-C6F7C172EE2B}" name="Type?" dataDxfId="187">
      <calculatedColumnFormula>IF('Initial_Set-Up'!J13="","",'Initial_Set-Up'!J13)</calculatedColumnFormula>
    </tableColumn>
    <tableColumn id="3" xr3:uid="{DF0ADCE6-2A5D-4AD0-BE38-CFD9A7093077}" name="Choice" dataDxfId="186">
      <calculatedColumnFormula>IF(C18=TRUE, "Need", "Want")</calculatedColumnFormula>
    </tableColumn>
    <tableColumn id="4" xr3:uid="{1A5C7012-194A-4BC6-BD30-49C8DC735873}" name="Jan" dataDxfId="185">
      <calculatedColumnFormula>Budget!G40</calculatedColumnFormula>
    </tableColumn>
    <tableColumn id="5" xr3:uid="{2789ED85-8AF7-4960-814B-BE52F39482AA}" name="Feb" dataDxfId="184">
      <calculatedColumnFormula>Budget!H40</calculatedColumnFormula>
    </tableColumn>
    <tableColumn id="6" xr3:uid="{C42ECB67-7B07-4267-AF71-1488BFAB1A3D}" name="Mar" dataDxfId="183">
      <calculatedColumnFormula>Budget!I40</calculatedColumnFormula>
    </tableColumn>
    <tableColumn id="7" xr3:uid="{02756B98-A967-48F9-B0D6-51A70F6BC0BF}" name="Apr" dataDxfId="182">
      <calculatedColumnFormula>Budget!J40</calculatedColumnFormula>
    </tableColumn>
    <tableColumn id="8" xr3:uid="{FE4AE0CE-49C0-4BA5-B7E3-7F937578BACB}" name="May" dataDxfId="181">
      <calculatedColumnFormula>Budget!K40</calculatedColumnFormula>
    </tableColumn>
    <tableColumn id="9" xr3:uid="{6E4B67DE-ADC0-4B15-ADCF-294E0218261E}" name="Jun" dataDxfId="180">
      <calculatedColumnFormula>Budget!L40</calculatedColumnFormula>
    </tableColumn>
    <tableColumn id="10" xr3:uid="{F5D8A975-E622-4A50-BB92-4DD74DA372E2}" name="Jul" dataDxfId="179">
      <calculatedColumnFormula>Budget!M40</calculatedColumnFormula>
    </tableColumn>
    <tableColumn id="11" xr3:uid="{6C2F760C-4995-418D-B1AB-8D6645462408}" name="Aug" dataDxfId="178">
      <calculatedColumnFormula>Budget!N40</calculatedColumnFormula>
    </tableColumn>
    <tableColumn id="12" xr3:uid="{E41071B9-E221-4E4D-97F7-F15DF9854B40}" name="Sept" dataDxfId="177">
      <calculatedColumnFormula>Budget!O40</calculatedColumnFormula>
    </tableColumn>
    <tableColumn id="13" xr3:uid="{60700328-8DC2-442C-A4FD-2918450D1276}" name="Oct" dataDxfId="176">
      <calculatedColumnFormula>Budget!P40</calculatedColumnFormula>
    </tableColumn>
    <tableColumn id="14" xr3:uid="{63B5912C-AC22-4CF9-8A90-E7BD5D0DDCC4}" name="Nov" dataDxfId="175">
      <calculatedColumnFormula>Budget!Q40</calculatedColumnFormula>
    </tableColumn>
    <tableColumn id="15" xr3:uid="{06F12401-83C3-4601-AA1C-0F0EBC3CAC4C}" name="Dec" dataDxfId="174">
      <calculatedColumnFormula>Budget!R40</calculatedColumnFormula>
    </tableColumn>
    <tableColumn id="16" xr3:uid="{0F938E8E-5282-45D8-9561-2A6E7F77707F}" name="Total Budget" dataDxfId="173">
      <calculatedColumnFormula>Budget!S40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2C5D32D-AC86-4AB5-ABCE-6B7EDFF13124}" name="Table4" displayName="Table4" ref="B41:Q51" totalsRowShown="0" headerRowDxfId="172" dataDxfId="171">
  <autoFilter ref="B41:Q51" xr:uid="{F2C5D32D-AC86-4AB5-ABCE-6B7EDFF13124}"/>
  <tableColumns count="16">
    <tableColumn id="1" xr3:uid="{AF96016F-189C-435A-9498-9E38E724472B}" name="Subcategory" dataDxfId="170">
      <calculatedColumnFormula>IF('Initial_Set-Up'!D40="","",'Initial_Set-Up'!D40)</calculatedColumnFormula>
    </tableColumn>
    <tableColumn id="2" xr3:uid="{8C5013E4-1466-4029-8F43-BA1CFC7F2BFB}" name="Type?" dataDxfId="169">
      <calculatedColumnFormula>IF('Initial_Set-Up'!E40="","",'Initial_Set-Up'!E40)</calculatedColumnFormula>
    </tableColumn>
    <tableColumn id="3" xr3:uid="{5B5D50C0-7776-4906-9EAF-3CF7BBBAA0AE}" name="Choice" dataDxfId="168">
      <calculatedColumnFormula>IF(C42=TRUE, "High Priority", "Low Priority")</calculatedColumnFormula>
    </tableColumn>
    <tableColumn id="4" xr3:uid="{820FF255-7882-440F-9651-96608CF0C5AC}" name="Jan" dataDxfId="167">
      <calculatedColumnFormula>Budget!G72</calculatedColumnFormula>
    </tableColumn>
    <tableColumn id="5" xr3:uid="{BF872B08-084B-42D8-BE61-85E3C7751FF5}" name="Feb" dataDxfId="166">
      <calculatedColumnFormula>Budget!H72</calculatedColumnFormula>
    </tableColumn>
    <tableColumn id="6" xr3:uid="{68CC7A7C-6062-4292-BFAF-B3686E77A61A}" name="Mar" dataDxfId="165">
      <calculatedColumnFormula>Budget!I72</calculatedColumnFormula>
    </tableColumn>
    <tableColumn id="7" xr3:uid="{B95140A7-CEC6-4FB0-A16B-836FCA313631}" name="Apr" dataDxfId="164">
      <calculatedColumnFormula>Budget!J72</calculatedColumnFormula>
    </tableColumn>
    <tableColumn id="8" xr3:uid="{CD9A8EBF-B710-4EB2-9485-1B7178C717E5}" name="May" dataDxfId="163">
      <calculatedColumnFormula>Budget!K72</calculatedColumnFormula>
    </tableColumn>
    <tableColumn id="9" xr3:uid="{CD36EEDD-2331-444E-8E16-FF6786F76D34}" name="Jun" dataDxfId="162">
      <calculatedColumnFormula>Budget!L72</calculatedColumnFormula>
    </tableColumn>
    <tableColumn id="10" xr3:uid="{FFBB7E32-7713-4ADF-8BF1-5BEF505ED03B}" name="Jul" dataDxfId="161">
      <calculatedColumnFormula>Budget!M72</calculatedColumnFormula>
    </tableColumn>
    <tableColumn id="11" xr3:uid="{A460198E-8F29-4400-B4BE-000EBD8A4BB6}" name="Aug" dataDxfId="160">
      <calculatedColumnFormula>Budget!N72</calculatedColumnFormula>
    </tableColumn>
    <tableColumn id="12" xr3:uid="{AA1289AE-DDAE-43C2-9A79-DD9DC4D6AF01}" name="Sept" dataDxfId="159">
      <calculatedColumnFormula>Budget!O72</calculatedColumnFormula>
    </tableColumn>
    <tableColumn id="13" xr3:uid="{5E025C5D-3856-434E-A9E1-DA1C88B573BA}" name="Oct" dataDxfId="158">
      <calculatedColumnFormula>Budget!P72</calculatedColumnFormula>
    </tableColumn>
    <tableColumn id="14" xr3:uid="{4CA2872D-2052-4397-BFA3-912ADE870C0B}" name="Nov" dataDxfId="157">
      <calculatedColumnFormula>Budget!Q72</calculatedColumnFormula>
    </tableColumn>
    <tableColumn id="15" xr3:uid="{F95B89B0-01FC-4B7A-9B00-C7A23A1CDA8F}" name="Dec" dataDxfId="156">
      <calculatedColumnFormula>Budget!R72</calculatedColumnFormula>
    </tableColumn>
    <tableColumn id="16" xr3:uid="{82E590C9-3675-4403-A0D2-CFD5FD1F9843}" name="Total Budget" dataDxfId="155">
      <calculatedColumnFormula>IF(Budget!S72="","",Budget!S72)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B3AFFE-8D40-4488-AA6E-947A299DD675}" name="Table6" displayName="Table6" ref="B55:Q65" totalsRowShown="0" headerRowDxfId="154" dataDxfId="153">
  <autoFilter ref="B55:Q65" xr:uid="{E0B3AFFE-8D40-4488-AA6E-947A299DD675}"/>
  <tableColumns count="16">
    <tableColumn id="1" xr3:uid="{C85BC1FE-4064-491D-B701-AD9D3D3E0B7E}" name="Subcategory" dataDxfId="152">
      <calculatedColumnFormula>IF('Initial_Set-Up'!I40="","",'Initial_Set-Up'!I40)</calculatedColumnFormula>
    </tableColumn>
    <tableColumn id="2" xr3:uid="{8C26558B-F1BC-4D44-A71C-F298FE6FB201}" name="Type?" dataDxfId="151">
      <calculatedColumnFormula>IF('Initial_Set-Up'!J40="","",'Initial_Set-Up'!J40)</calculatedColumnFormula>
    </tableColumn>
    <tableColumn id="3" xr3:uid="{F4C66165-72F4-4C7B-A456-1BC521748C19}" name="Choice" dataDxfId="150">
      <calculatedColumnFormula>IF(C56=TRUE, "Long Term", "Short Term")</calculatedColumnFormula>
    </tableColumn>
    <tableColumn id="4" xr3:uid="{B8FEE922-5170-4116-94BC-6D1611B3EF99}" name="Jan" dataDxfId="149">
      <calculatedColumnFormula>Budget!G94</calculatedColumnFormula>
    </tableColumn>
    <tableColumn id="5" xr3:uid="{68EC003B-B3BB-48EE-84E8-9327653945D9}" name="Feb" dataDxfId="148">
      <calculatedColumnFormula>Budget!H94</calculatedColumnFormula>
    </tableColumn>
    <tableColumn id="6" xr3:uid="{E7F76B49-E984-4F7D-AC91-BE13858335B1}" name="Mar" dataDxfId="147">
      <calculatedColumnFormula>Budget!I94</calculatedColumnFormula>
    </tableColumn>
    <tableColumn id="7" xr3:uid="{9C6A1AA7-7B5E-413F-84D9-9AA6C068FAF5}" name="Apr" dataDxfId="146">
      <calculatedColumnFormula>Budget!J94</calculatedColumnFormula>
    </tableColumn>
    <tableColumn id="8" xr3:uid="{1670BB7F-20DB-42A4-B899-3C6944846FE9}" name="May" dataDxfId="145">
      <calculatedColumnFormula>Budget!K94</calculatedColumnFormula>
    </tableColumn>
    <tableColumn id="9" xr3:uid="{20E36777-0877-4F68-BC36-C2B6CE4763B4}" name="Jun" dataDxfId="144">
      <calculatedColumnFormula>Budget!L94</calculatedColumnFormula>
    </tableColumn>
    <tableColumn id="10" xr3:uid="{3C5E3267-7FE3-4A04-A58E-232AA0E2396B}" name="Jul" dataDxfId="143">
      <calculatedColumnFormula>Budget!M94</calculatedColumnFormula>
    </tableColumn>
    <tableColumn id="11" xr3:uid="{6040458B-9D0D-4941-A407-C7E3EDAF8E57}" name="Aug" dataDxfId="142">
      <calculatedColumnFormula>Budget!N94</calculatedColumnFormula>
    </tableColumn>
    <tableColumn id="12" xr3:uid="{5139355C-7975-4E21-B316-F3A9568942F4}" name="Sept" dataDxfId="141">
      <calculatedColumnFormula>Budget!O94</calculatedColumnFormula>
    </tableColumn>
    <tableColumn id="13" xr3:uid="{1D761258-4DC8-436C-ACC5-53734D4F5CCB}" name="Oct" dataDxfId="140">
      <calculatedColumnFormula>Budget!P94</calculatedColumnFormula>
    </tableColumn>
    <tableColumn id="14" xr3:uid="{4BF6090B-DB82-4F1D-9E42-4E900DE3D92D}" name="Nov" dataDxfId="139">
      <calculatedColumnFormula>Budget!Q94</calculatedColumnFormula>
    </tableColumn>
    <tableColumn id="15" xr3:uid="{A9696FA9-96F6-4DE8-B573-8BBCCB0587D9}" name="Dec" dataDxfId="138">
      <calculatedColumnFormula>Budget!R94</calculatedColumnFormula>
    </tableColumn>
    <tableColumn id="16" xr3:uid="{2534693B-8438-447B-86DA-2C96FB934D99}" name="Total Budget" dataDxfId="137">
      <calculatedColumnFormula>IF(Budget!S94="","",Budget!S94)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40352A-7BEF-4AAD-9490-48E07E8ACAE9}" name="Table5" displayName="Table5" ref="B69:C81" totalsRowShown="0" headerRowDxfId="136">
  <autoFilter ref="B69:C81" xr:uid="{1540352A-7BEF-4AAD-9490-48E07E8ACAE9}"/>
  <tableColumns count="2">
    <tableColumn id="1" xr3:uid="{63A32054-4D9F-4A9D-BE89-F0B7F46D7430}" name="Month" dataDxfId="135"/>
    <tableColumn id="2" xr3:uid="{78EE77B4-C088-40DE-A8CB-3C7D348C145F}" name="Month Number" dataDxfId="13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EAB833-5971-4E30-B523-6C9842A7ABCC}" name="Table1" displayName="Table1" ref="B2:F85" totalsRowShown="0" headerRowDxfId="121" dataDxfId="120" tableBorderDxfId="119">
  <autoFilter ref="B2:F85" xr:uid="{C3EAB833-5971-4E30-B523-6C9842A7ABCC}"/>
  <tableColumns count="5">
    <tableColumn id="1" xr3:uid="{C9552BCD-D8BD-4ADF-B221-3F66CB159BB3}" name="Date" dataDxfId="118"/>
    <tableColumn id="2" xr3:uid="{C091B5C9-C974-4B91-87C1-BDCA0910B2BC}" name="Category" dataDxfId="117"/>
    <tableColumn id="3" xr3:uid="{3D2148E8-C047-4403-8E03-F5C5056F8981}" name="Subcategory" dataDxfId="116"/>
    <tableColumn id="4" xr3:uid="{DB652253-7C3C-44C1-BF18-59665178EA4D}" name="Amount" dataDxfId="115"/>
    <tableColumn id="5" xr3:uid="{C1ECE3B6-7B3F-43F0-83AC-C5D14880E3FE}" name="Comments" dataDxfId="114"/>
  </tableColumns>
  <tableStyleInfo name="Transaction_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openxmlformats.org/officeDocument/2006/relationships/table" Target="../tables/table5.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table" Target="../tables/table4.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table" Target="../tables/table3.xml"/><Relationship Id="rId5" Type="http://schemas.openxmlformats.org/officeDocument/2006/relationships/pivotTable" Target="../pivotTables/pivotTable19.xml"/><Relationship Id="rId10" Type="http://schemas.openxmlformats.org/officeDocument/2006/relationships/table" Target="../tables/table2.xml"/><Relationship Id="rId4" Type="http://schemas.openxmlformats.org/officeDocument/2006/relationships/pivotTable" Target="../pivotTables/pivotTable18.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microsoft.com/office/2007/relationships/slicer" Target="../slicers/slicer1.xml"/><Relationship Id="rId5" Type="http://schemas.openxmlformats.org/officeDocument/2006/relationships/drawing" Target="../drawings/drawing3.xml"/><Relationship Id="rId4"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08E4A-DE20-42C1-A8F6-17BD210CFFE3}">
  <sheetPr codeName="Sheet1">
    <tabColor theme="0" tint="-0.14999847407452621"/>
  </sheetPr>
  <dimension ref="C3:V49"/>
  <sheetViews>
    <sheetView showGridLines="0" showRowColHeaders="0" zoomScale="66" zoomScaleNormal="66" workbookViewId="0">
      <selection activeCell="V30" sqref="V30"/>
      <extLst>
        <ext xmlns:xlsdti="http://schemas.microsoft.com/office/spreadsheetml/2023/showDataTypeIcons" uri="{77bfe23e-c014-4d31-8a63-9c772dbf06b6}">
          <xlsdti:showDataTypeIcons visible="0"/>
        </ext>
      </extLst>
    </sheetView>
  </sheetViews>
  <sheetFormatPr defaultColWidth="9" defaultRowHeight="15.75" x14ac:dyDescent="0.5"/>
  <cols>
    <col min="1" max="1" width="9" style="44"/>
    <col min="2" max="2" width="9" style="44" customWidth="1"/>
    <col min="3" max="3" width="3.3984375" style="44" customWidth="1"/>
    <col min="4" max="4" width="35.59765625" style="44" customWidth="1"/>
    <col min="5" max="5" width="20.1328125" style="44" customWidth="1"/>
    <col min="6" max="6" width="1" style="44" customWidth="1"/>
    <col min="7" max="7" width="10.1328125" style="44" customWidth="1"/>
    <col min="8" max="8" width="3.265625" style="44" customWidth="1"/>
    <col min="9" max="9" width="39.1328125" style="44" customWidth="1"/>
    <col min="10" max="10" width="17" style="44" customWidth="1"/>
    <col min="11" max="11" width="1.265625" style="44" customWidth="1"/>
    <col min="12" max="18" width="9" style="44"/>
    <col min="19" max="19" width="14.3984375" style="44" customWidth="1"/>
    <col min="20" max="20" width="13.1328125" style="44" customWidth="1"/>
    <col min="21" max="16384" width="9" style="44"/>
  </cols>
  <sheetData>
    <row r="3" spans="3:20" x14ac:dyDescent="0.5">
      <c r="C3" s="92"/>
    </row>
    <row r="12" spans="3:20" ht="27.4" customHeight="1" thickBot="1" x14ac:dyDescent="0.65">
      <c r="D12" s="48" t="s">
        <v>0</v>
      </c>
      <c r="E12" s="49" t="s">
        <v>1</v>
      </c>
      <c r="F12" s="45"/>
      <c r="G12" s="45"/>
      <c r="I12" s="46" t="s">
        <v>2</v>
      </c>
      <c r="J12" s="47" t="s">
        <v>3</v>
      </c>
    </row>
    <row r="13" spans="3:20" ht="16.5" customHeight="1" thickTop="1" x14ac:dyDescent="0.55000000000000004">
      <c r="D13" s="17" t="s">
        <v>4</v>
      </c>
      <c r="E13" s="18" t="b">
        <v>1</v>
      </c>
      <c r="I13" s="6" t="s">
        <v>5</v>
      </c>
      <c r="J13" s="4" t="b">
        <v>1</v>
      </c>
      <c r="S13" s="95">
        <v>2025</v>
      </c>
      <c r="T13" s="95"/>
    </row>
    <row r="14" spans="3:20" ht="16.149999999999999" customHeight="1" x14ac:dyDescent="0.55000000000000004">
      <c r="D14" s="17" t="s">
        <v>6</v>
      </c>
      <c r="E14" s="18" t="b">
        <v>1</v>
      </c>
      <c r="I14" s="7" t="s">
        <v>7</v>
      </c>
      <c r="J14" s="1" t="b">
        <v>1</v>
      </c>
      <c r="S14" s="95"/>
      <c r="T14" s="95"/>
    </row>
    <row r="15" spans="3:20" ht="16.149999999999999" customHeight="1" x14ac:dyDescent="0.55000000000000004">
      <c r="D15" s="17" t="s">
        <v>8</v>
      </c>
      <c r="E15" s="18" t="b">
        <v>0</v>
      </c>
      <c r="I15" s="7" t="s">
        <v>9</v>
      </c>
      <c r="J15" s="1" t="b">
        <v>1</v>
      </c>
      <c r="S15" s="95"/>
      <c r="T15" s="95"/>
    </row>
    <row r="16" spans="3:20" ht="16.149999999999999" x14ac:dyDescent="0.55000000000000004">
      <c r="D16" s="17" t="s">
        <v>10</v>
      </c>
      <c r="E16" s="18" t="b">
        <v>0</v>
      </c>
      <c r="I16" s="7" t="s">
        <v>11</v>
      </c>
      <c r="J16" s="1" t="b">
        <v>1</v>
      </c>
    </row>
    <row r="17" spans="4:22" ht="16.149999999999999" x14ac:dyDescent="0.55000000000000004">
      <c r="D17" s="17" t="s">
        <v>12</v>
      </c>
      <c r="E17" s="18" t="b">
        <v>1</v>
      </c>
      <c r="I17" s="7" t="s">
        <v>13</v>
      </c>
      <c r="J17" s="1" t="b">
        <v>1</v>
      </c>
    </row>
    <row r="18" spans="4:22" ht="16.149999999999999" x14ac:dyDescent="0.55000000000000004">
      <c r="D18" s="17"/>
      <c r="E18" s="18" t="b">
        <v>0</v>
      </c>
      <c r="I18" s="7" t="s">
        <v>14</v>
      </c>
      <c r="J18" s="1" t="b">
        <v>0</v>
      </c>
    </row>
    <row r="19" spans="4:22" ht="16.149999999999999" x14ac:dyDescent="0.55000000000000004">
      <c r="D19" s="17"/>
      <c r="E19" s="18" t="b">
        <v>0</v>
      </c>
      <c r="I19" s="7" t="s">
        <v>15</v>
      </c>
      <c r="J19" s="1" t="b">
        <v>0</v>
      </c>
    </row>
    <row r="20" spans="4:22" ht="16.149999999999999" x14ac:dyDescent="0.55000000000000004">
      <c r="D20" s="17"/>
      <c r="E20" s="18" t="b">
        <v>0</v>
      </c>
      <c r="I20" s="7" t="s">
        <v>16</v>
      </c>
      <c r="J20" s="1" t="b">
        <v>0</v>
      </c>
      <c r="S20" s="96" t="s">
        <v>17</v>
      </c>
      <c r="T20" s="96"/>
      <c r="U20" s="96"/>
      <c r="V20" s="96"/>
    </row>
    <row r="21" spans="4:22" ht="16.149999999999999" x14ac:dyDescent="0.55000000000000004">
      <c r="D21" s="17"/>
      <c r="E21" s="18" t="b">
        <v>0</v>
      </c>
      <c r="I21" s="7" t="s">
        <v>18</v>
      </c>
      <c r="J21" s="1" t="b">
        <v>0</v>
      </c>
      <c r="S21" s="96"/>
      <c r="T21" s="96"/>
      <c r="U21" s="96"/>
      <c r="V21" s="96"/>
    </row>
    <row r="22" spans="4:22" ht="16.149999999999999" x14ac:dyDescent="0.55000000000000004">
      <c r="D22" s="17"/>
      <c r="E22" s="18" t="b">
        <v>0</v>
      </c>
      <c r="I22" s="75" t="s">
        <v>19</v>
      </c>
      <c r="J22" s="76" t="b">
        <v>0</v>
      </c>
      <c r="S22" s="96"/>
      <c r="T22" s="96"/>
      <c r="U22" s="96"/>
      <c r="V22" s="96"/>
    </row>
    <row r="23" spans="4:22" ht="16.149999999999999" customHeight="1" x14ac:dyDescent="0.55000000000000004">
      <c r="I23" s="75"/>
      <c r="J23" s="76" t="b">
        <v>0</v>
      </c>
    </row>
    <row r="24" spans="4:22" ht="16.149999999999999" x14ac:dyDescent="0.55000000000000004">
      <c r="I24" s="75"/>
      <c r="J24" s="76" t="b">
        <v>0</v>
      </c>
    </row>
    <row r="25" spans="4:22" ht="16.149999999999999" x14ac:dyDescent="0.55000000000000004">
      <c r="I25" s="75"/>
      <c r="J25" s="76" t="b">
        <v>0</v>
      </c>
    </row>
    <row r="26" spans="4:22" ht="16.149999999999999" x14ac:dyDescent="0.55000000000000004">
      <c r="I26" s="75"/>
      <c r="J26" s="76" t="b">
        <v>0</v>
      </c>
    </row>
    <row r="27" spans="4:22" ht="15.95" customHeight="1" x14ac:dyDescent="0.55000000000000004">
      <c r="I27" s="75"/>
      <c r="J27" s="76" t="b">
        <v>0</v>
      </c>
      <c r="S27" s="95" t="s">
        <v>20</v>
      </c>
    </row>
    <row r="28" spans="4:22" ht="15.95" customHeight="1" x14ac:dyDescent="0.55000000000000004">
      <c r="I28" s="75"/>
      <c r="J28" s="76" t="b">
        <v>0</v>
      </c>
      <c r="S28" s="95"/>
    </row>
    <row r="29" spans="4:22" ht="16.149999999999999" customHeight="1" x14ac:dyDescent="0.55000000000000004">
      <c r="I29" s="75"/>
      <c r="J29" s="76" t="b">
        <v>0</v>
      </c>
      <c r="S29" s="95"/>
    </row>
    <row r="30" spans="4:22" ht="15.95" customHeight="1" x14ac:dyDescent="0.55000000000000004">
      <c r="I30" s="75"/>
      <c r="J30" s="76" t="b">
        <v>0</v>
      </c>
    </row>
    <row r="31" spans="4:22" ht="15.95" customHeight="1" x14ac:dyDescent="0.55000000000000004">
      <c r="I31" s="75"/>
      <c r="J31" s="76" t="b">
        <v>0</v>
      </c>
    </row>
    <row r="32" spans="4:22" ht="16.149999999999999" x14ac:dyDescent="0.55000000000000004">
      <c r="I32" s="75"/>
      <c r="J32" s="76" t="b">
        <v>0</v>
      </c>
    </row>
    <row r="39" spans="4:10" ht="19.899999999999999" thickBot="1" x14ac:dyDescent="0.65">
      <c r="D39" s="46" t="s">
        <v>21</v>
      </c>
      <c r="E39" s="47" t="s">
        <v>22</v>
      </c>
      <c r="I39" s="46" t="s">
        <v>23</v>
      </c>
      <c r="J39" s="47" t="s">
        <v>24</v>
      </c>
    </row>
    <row r="40" spans="4:10" ht="16.5" thickTop="1" x14ac:dyDescent="0.55000000000000004">
      <c r="D40" s="11" t="s">
        <v>25</v>
      </c>
      <c r="E40" s="12" t="b">
        <v>1</v>
      </c>
      <c r="I40" s="8" t="s">
        <v>26</v>
      </c>
      <c r="J40" s="5" t="b">
        <v>1</v>
      </c>
    </row>
    <row r="41" spans="4:10" ht="16.149999999999999" x14ac:dyDescent="0.55000000000000004">
      <c r="D41" s="13" t="s">
        <v>27</v>
      </c>
      <c r="E41" s="14" t="b">
        <v>0</v>
      </c>
      <c r="I41" s="9" t="s">
        <v>28</v>
      </c>
      <c r="J41" s="2" t="b">
        <v>0</v>
      </c>
    </row>
    <row r="42" spans="4:10" ht="16.149999999999999" x14ac:dyDescent="0.55000000000000004">
      <c r="D42" s="13"/>
      <c r="E42" s="14" t="b">
        <v>0</v>
      </c>
      <c r="I42" s="9" t="s">
        <v>29</v>
      </c>
      <c r="J42" s="2" t="b">
        <v>1</v>
      </c>
    </row>
    <row r="43" spans="4:10" ht="16.149999999999999" x14ac:dyDescent="0.55000000000000004">
      <c r="D43" s="13"/>
      <c r="E43" s="14" t="b">
        <v>0</v>
      </c>
      <c r="I43" s="9" t="s">
        <v>30</v>
      </c>
      <c r="J43" s="2" t="b">
        <v>0</v>
      </c>
    </row>
    <row r="44" spans="4:10" ht="16.149999999999999" x14ac:dyDescent="0.55000000000000004">
      <c r="D44" s="13"/>
      <c r="E44" s="14" t="b">
        <v>0</v>
      </c>
      <c r="I44" s="9"/>
      <c r="J44" s="2" t="b">
        <v>0</v>
      </c>
    </row>
    <row r="45" spans="4:10" ht="16.149999999999999" x14ac:dyDescent="0.55000000000000004">
      <c r="D45" s="13"/>
      <c r="E45" s="14" t="b">
        <v>0</v>
      </c>
      <c r="I45" s="9"/>
      <c r="J45" s="2" t="b">
        <v>0</v>
      </c>
    </row>
    <row r="46" spans="4:10" ht="16.149999999999999" x14ac:dyDescent="0.55000000000000004">
      <c r="D46" s="13"/>
      <c r="E46" s="14" t="b">
        <v>0</v>
      </c>
      <c r="I46" s="9"/>
      <c r="J46" s="2" t="b">
        <v>0</v>
      </c>
    </row>
    <row r="47" spans="4:10" ht="16.149999999999999" x14ac:dyDescent="0.55000000000000004">
      <c r="D47" s="13"/>
      <c r="E47" s="14" t="b">
        <v>0</v>
      </c>
      <c r="I47" s="9"/>
      <c r="J47" s="2" t="b">
        <v>0</v>
      </c>
    </row>
    <row r="48" spans="4:10" ht="16.149999999999999" x14ac:dyDescent="0.55000000000000004">
      <c r="D48" s="13"/>
      <c r="E48" s="14" t="b">
        <v>0</v>
      </c>
      <c r="I48" s="9"/>
      <c r="J48" s="2" t="b">
        <v>0</v>
      </c>
    </row>
    <row r="49" spans="4:10" ht="16.149999999999999" x14ac:dyDescent="0.55000000000000004">
      <c r="D49" s="15"/>
      <c r="E49" s="16" t="b">
        <v>0</v>
      </c>
      <c r="I49" s="10"/>
      <c r="J49" s="3" t="b">
        <v>0</v>
      </c>
    </row>
  </sheetData>
  <mergeCells count="3">
    <mergeCell ref="S13:T15"/>
    <mergeCell ref="S20:V22"/>
    <mergeCell ref="S27:S29"/>
  </mergeCells>
  <dataValidations count="1">
    <dataValidation type="list" allowBlank="1" showInputMessage="1" showErrorMessage="1" sqref="S27:S29" xr:uid="{2741266D-D6D1-46E1-AAB7-683240443500}">
      <formula1>"€, $, £, ¥"</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5158C-A7D4-459E-BBD4-6EBC9862B2C8}">
  <sheetPr codeName="Sheet2"/>
  <dimension ref="B2:AV81"/>
  <sheetViews>
    <sheetView showGridLines="0" topLeftCell="O1" zoomScale="42" zoomScaleNormal="100" workbookViewId="0">
      <selection activeCell="U35" sqref="U35"/>
    </sheetView>
  </sheetViews>
  <sheetFormatPr defaultColWidth="9" defaultRowHeight="14.25" x14ac:dyDescent="0.45"/>
  <cols>
    <col min="1" max="1" width="9" style="26"/>
    <col min="2" max="2" width="13.265625" style="26" customWidth="1"/>
    <col min="3" max="3" width="14.265625" style="26" customWidth="1"/>
    <col min="4" max="16" width="11.73046875" style="26" customWidth="1"/>
    <col min="17" max="17" width="13.59765625" style="26" bestFit="1" customWidth="1"/>
    <col min="18" max="18" width="9" style="26"/>
    <col min="19" max="19" width="12" style="50" bestFit="1" customWidth="1"/>
    <col min="20" max="20" width="16.3984375" style="50" bestFit="1" customWidth="1"/>
    <col min="21" max="22" width="9.86328125" style="50" bestFit="1" customWidth="1"/>
    <col min="23" max="26" width="9" style="26"/>
    <col min="27" max="27" width="13.06640625" style="26" bestFit="1" customWidth="1"/>
    <col min="28" max="28" width="12.1328125" style="26" bestFit="1" customWidth="1"/>
    <col min="29" max="30" width="11.73046875" style="26" bestFit="1" customWidth="1"/>
    <col min="31" max="32" width="9" style="26"/>
    <col min="33" max="33" width="15.1328125" style="26" bestFit="1" customWidth="1"/>
    <col min="34" max="34" width="18.6640625" style="26" bestFit="1" customWidth="1"/>
    <col min="35" max="35" width="18.1328125" style="26" bestFit="1" customWidth="1"/>
    <col min="36" max="36" width="12.1328125" style="26" bestFit="1" customWidth="1"/>
    <col min="37" max="38" width="11.73046875" style="26" bestFit="1" customWidth="1"/>
    <col min="39" max="40" width="9" style="26"/>
    <col min="41" max="41" width="10.3984375" style="26" bestFit="1" customWidth="1"/>
    <col min="42" max="42" width="10" style="26" bestFit="1" customWidth="1"/>
    <col min="43" max="43" width="9" style="26"/>
    <col min="44" max="44" width="14.265625" style="26" customWidth="1"/>
    <col min="45" max="16384" width="9" style="26"/>
  </cols>
  <sheetData>
    <row r="2" spans="2:48" x14ac:dyDescent="0.45">
      <c r="AO2" s="26" t="s">
        <v>31</v>
      </c>
      <c r="AP2" s="26" t="s">
        <v>32</v>
      </c>
      <c r="AQ2" s="50" t="s">
        <v>33</v>
      </c>
      <c r="AR2" s="50" t="s">
        <v>34</v>
      </c>
    </row>
    <row r="3" spans="2:48" x14ac:dyDescent="0.45">
      <c r="B3" s="21" t="s">
        <v>35</v>
      </c>
      <c r="C3" s="21" t="s">
        <v>36</v>
      </c>
      <c r="D3" s="21" t="s">
        <v>37</v>
      </c>
      <c r="E3" s="21" t="s">
        <v>38</v>
      </c>
      <c r="F3" s="21" t="s">
        <v>39</v>
      </c>
      <c r="G3" s="21" t="s">
        <v>40</v>
      </c>
      <c r="H3" s="21" t="s">
        <v>41</v>
      </c>
      <c r="I3" s="21" t="s">
        <v>42</v>
      </c>
      <c r="J3" s="21" t="s">
        <v>43</v>
      </c>
      <c r="K3" s="21" t="s">
        <v>44</v>
      </c>
      <c r="L3" s="21" t="s">
        <v>45</v>
      </c>
      <c r="M3" s="21" t="s">
        <v>46</v>
      </c>
      <c r="N3" s="21" t="s">
        <v>47</v>
      </c>
      <c r="O3" s="21" t="s">
        <v>48</v>
      </c>
      <c r="P3" s="21" t="s">
        <v>49</v>
      </c>
      <c r="Q3" s="21" t="s">
        <v>50</v>
      </c>
      <c r="S3" s="50" t="s">
        <v>33</v>
      </c>
      <c r="T3" s="50" t="s">
        <v>34</v>
      </c>
      <c r="U3" s="26"/>
      <c r="AA3" s="26" t="s">
        <v>51</v>
      </c>
      <c r="AB3" s="26" t="s">
        <v>52</v>
      </c>
      <c r="AC3" s="26" t="s">
        <v>53</v>
      </c>
      <c r="AD3" s="26" t="s">
        <v>54</v>
      </c>
      <c r="AG3" s="26" t="s">
        <v>55</v>
      </c>
      <c r="AH3" s="26" t="s">
        <v>56</v>
      </c>
      <c r="AI3" s="26" t="s">
        <v>57</v>
      </c>
      <c r="AJ3" s="26" t="s">
        <v>58</v>
      </c>
      <c r="AO3" s="26">
        <f>GETPIVOTDATA("[Measures].[Total Actuals - Income]",$AG$41,"[Category_Sub].[Choice]","[Category_Sub].[Choice].&amp;[Active]")</f>
        <v>7320</v>
      </c>
      <c r="AP3" s="26">
        <f>GETPIVOTDATA("[Measures].[Total Actuals - Income]",$AG$41,"[Category_Sub].[Choice]","[Category_Sub].[Choice].&amp;[Passive]")</f>
        <v>2150</v>
      </c>
      <c r="AQ3" s="20" t="s">
        <v>31</v>
      </c>
      <c r="AR3" s="20">
        <f>GETPIVOTDATA("[Measures].[Total Actuals - Income]",$AG$41,"[Category_Sub].[Choice]","[Category_Sub].[Choice].&amp;[Active]")</f>
        <v>7320</v>
      </c>
      <c r="AV3" s="26" t="s">
        <v>59</v>
      </c>
    </row>
    <row r="4" spans="2:48" x14ac:dyDescent="0.45">
      <c r="B4" s="21" t="str">
        <f>IF('Initial_Set-Up'!D13="", "", 'Initial_Set-Up'!D13)</f>
        <v>Student Job</v>
      </c>
      <c r="C4" s="21" t="b">
        <f>IF('Initial_Set-Up'!E13="", "", 'Initial_Set-Up'!E13)</f>
        <v>1</v>
      </c>
      <c r="D4" s="21" t="str">
        <f>IF(C4=TRUE, "Active", "Passive")</f>
        <v>Active</v>
      </c>
      <c r="E4" s="21">
        <f>Budget!G18</f>
        <v>350</v>
      </c>
      <c r="F4" s="21">
        <f>Budget!H18</f>
        <v>350</v>
      </c>
      <c r="G4" s="21">
        <f>Budget!I18</f>
        <v>350</v>
      </c>
      <c r="H4" s="21">
        <f>Budget!J18</f>
        <v>350</v>
      </c>
      <c r="I4" s="21">
        <f>Budget!K18</f>
        <v>350</v>
      </c>
      <c r="J4" s="21">
        <f>Budget!L18</f>
        <v>350</v>
      </c>
      <c r="K4" s="21">
        <f>Budget!M18</f>
        <v>350</v>
      </c>
      <c r="L4" s="21">
        <f>Budget!N18</f>
        <v>350</v>
      </c>
      <c r="M4" s="21">
        <f>Budget!O18</f>
        <v>350</v>
      </c>
      <c r="N4" s="21">
        <f>Budget!P18</f>
        <v>350</v>
      </c>
      <c r="O4" s="21">
        <f>Budget!Q18</f>
        <v>350</v>
      </c>
      <c r="P4" s="21">
        <f>Budget!R18</f>
        <v>350</v>
      </c>
      <c r="Q4" s="21">
        <f>IF(Budget!S18="", "", Budget!S18)</f>
        <v>4200</v>
      </c>
      <c r="S4" s="20" t="s">
        <v>31</v>
      </c>
      <c r="T4" s="20">
        <f>SUMIF(D4:D13, "Active", Q4:Q13)</f>
        <v>18250</v>
      </c>
      <c r="U4" s="26"/>
      <c r="AA4" s="125">
        <v>9470</v>
      </c>
      <c r="AB4" s="125">
        <v>9365</v>
      </c>
      <c r="AC4" s="125">
        <v>2240</v>
      </c>
      <c r="AD4" s="125">
        <v>1837</v>
      </c>
      <c r="AG4" s="26" t="str">
        <f>Currency&amp;" "&amp;GETPIVOTDATA("[Measures].[Total Actuals - Income]",$AA$3)</f>
        <v>€ 9470</v>
      </c>
      <c r="AH4" s="26" t="str">
        <f>Currency&amp;" "&amp;GETPIVOTDATA("[Measures].[Total Actuals - Expenses]",$AA$3)</f>
        <v>€ 9365</v>
      </c>
      <c r="AI4" s="26" t="str">
        <f>Currency&amp;" "&amp;GETPIVOTDATA("[Measures].[Total Actuals - Debt]",$AA$3)</f>
        <v>€ 2240</v>
      </c>
      <c r="AJ4" s="26" t="str">
        <f>Currency&amp;" "&amp;GETPIVOTDATA("[Measures].[Total Actuals - Sav &amp; Inv]",$AA$3)</f>
        <v>€ 1837</v>
      </c>
      <c r="AQ4" s="20" t="s">
        <v>32</v>
      </c>
      <c r="AR4" s="20">
        <f>GETPIVOTDATA("[Measures].[Total Actuals - Income]",$AG$41,"[Category_Sub].[Choice]","[Category_Sub].[Choice].&amp;[Passive]")</f>
        <v>2150</v>
      </c>
    </row>
    <row r="5" spans="2:48" x14ac:dyDescent="0.45">
      <c r="B5" s="21" t="str">
        <f>IF('Initial_Set-Up'!D14="", "", 'Initial_Set-Up'!D14)</f>
        <v>Internship</v>
      </c>
      <c r="C5" s="21" t="b">
        <f>IF('Initial_Set-Up'!E14="", "", 'Initial_Set-Up'!E14)</f>
        <v>1</v>
      </c>
      <c r="D5" s="21" t="str">
        <f t="shared" ref="D5:D13" si="0">IF(C5=TRUE, "Active", "Passive")</f>
        <v>Active</v>
      </c>
      <c r="E5" s="21">
        <f>Budget!G19</f>
        <v>1000</v>
      </c>
      <c r="F5" s="21">
        <f>Budget!H19</f>
        <v>1000</v>
      </c>
      <c r="G5" s="21">
        <f>Budget!I19</f>
        <v>1000</v>
      </c>
      <c r="H5" s="21">
        <f>Budget!J19</f>
        <v>1000</v>
      </c>
      <c r="I5" s="21">
        <f>Budget!K19</f>
        <v>1000</v>
      </c>
      <c r="J5" s="21">
        <f>Budget!L19</f>
        <v>1000</v>
      </c>
      <c r="K5" s="21">
        <f>Budget!M19</f>
        <v>1000</v>
      </c>
      <c r="L5" s="21">
        <f>Budget!N19</f>
        <v>1000</v>
      </c>
      <c r="M5" s="21">
        <f>Budget!O19</f>
        <v>1000</v>
      </c>
      <c r="N5" s="21">
        <f>Budget!P19</f>
        <v>1000</v>
      </c>
      <c r="O5" s="21">
        <f>Budget!Q19</f>
        <v>1000</v>
      </c>
      <c r="P5" s="21">
        <f>Budget!R19</f>
        <v>1000</v>
      </c>
      <c r="Q5" s="21">
        <f>IF(Budget!S19="", "", Budget!S19)</f>
        <v>12000</v>
      </c>
      <c r="S5" s="20" t="s">
        <v>32</v>
      </c>
      <c r="T5" s="20">
        <f>SUMIF(D4:D13, "Passive", Q4:Q13)</f>
        <v>11640</v>
      </c>
      <c r="U5" s="26"/>
      <c r="AG5" s="26" t="s">
        <v>60</v>
      </c>
    </row>
    <row r="6" spans="2:48" x14ac:dyDescent="0.45">
      <c r="B6" s="21" t="str">
        <f>IF('Initial_Set-Up'!D15="", "", 'Initial_Set-Up'!D15)</f>
        <v>Family Support</v>
      </c>
      <c r="C6" s="21" t="b">
        <f>IF('Initial_Set-Up'!E15="", "", 'Initial_Set-Up'!E15)</f>
        <v>0</v>
      </c>
      <c r="D6" s="21" t="str">
        <f t="shared" si="0"/>
        <v>Passive</v>
      </c>
      <c r="E6" s="21">
        <f>Budget!G20</f>
        <v>20</v>
      </c>
      <c r="F6" s="21">
        <f>Budget!H20</f>
        <v>20</v>
      </c>
      <c r="G6" s="21">
        <f>Budget!I20</f>
        <v>20</v>
      </c>
      <c r="H6" s="21">
        <f>Budget!J20</f>
        <v>20</v>
      </c>
      <c r="I6" s="21">
        <f>Budget!K20</f>
        <v>20</v>
      </c>
      <c r="J6" s="21">
        <f>Budget!L20</f>
        <v>20</v>
      </c>
      <c r="K6" s="21">
        <f>Budget!M20</f>
        <v>20</v>
      </c>
      <c r="L6" s="21">
        <f>Budget!N20</f>
        <v>20</v>
      </c>
      <c r="M6" s="21">
        <f>Budget!O20</f>
        <v>20</v>
      </c>
      <c r="N6" s="21">
        <f>Budget!P20</f>
        <v>20</v>
      </c>
      <c r="O6" s="21">
        <f>Budget!Q20</f>
        <v>20</v>
      </c>
      <c r="P6" s="21">
        <f>Budget!R20</f>
        <v>20</v>
      </c>
      <c r="Q6" s="21">
        <f>IF(Budget!S20="", "", Budget!S20)</f>
        <v>240</v>
      </c>
      <c r="S6" s="26"/>
      <c r="T6" s="26"/>
      <c r="U6" s="26"/>
    </row>
    <row r="7" spans="2:48" x14ac:dyDescent="0.45">
      <c r="B7" s="21" t="str">
        <f>IF('Initial_Set-Up'!D16="", "", 'Initial_Set-Up'!D16)</f>
        <v>CAF</v>
      </c>
      <c r="C7" s="21" t="b">
        <f>IF('Initial_Set-Up'!E16="", "", 'Initial_Set-Up'!E16)</f>
        <v>0</v>
      </c>
      <c r="D7" s="21" t="str">
        <f t="shared" si="0"/>
        <v>Passive</v>
      </c>
      <c r="E7" s="21">
        <f>Budget!G21</f>
        <v>2000</v>
      </c>
      <c r="F7" s="21">
        <f>Budget!H21</f>
        <v>2000</v>
      </c>
      <c r="G7" s="21">
        <f>Budget!I21</f>
        <v>2000</v>
      </c>
      <c r="H7" s="21">
        <f>Budget!J21</f>
        <v>2000</v>
      </c>
      <c r="I7" s="21">
        <f>Budget!K21</f>
        <v>2000</v>
      </c>
      <c r="J7" s="21">
        <f>Budget!L21</f>
        <v>200</v>
      </c>
      <c r="K7" s="21">
        <f>Budget!M21</f>
        <v>200</v>
      </c>
      <c r="L7" s="21">
        <f>Budget!N21</f>
        <v>200</v>
      </c>
      <c r="M7" s="21">
        <f>Budget!O21</f>
        <v>200</v>
      </c>
      <c r="N7" s="21">
        <f>Budget!P21</f>
        <v>200</v>
      </c>
      <c r="O7" s="21">
        <f>Budget!Q21</f>
        <v>200</v>
      </c>
      <c r="P7" s="21">
        <f>Budget!R21</f>
        <v>200</v>
      </c>
      <c r="Q7" s="21">
        <f>IF(Budget!S21="", "", Budget!S21)</f>
        <v>11400</v>
      </c>
      <c r="S7" s="26"/>
      <c r="T7" s="26"/>
      <c r="U7" s="26"/>
      <c r="AO7" s="26" t="s">
        <v>61</v>
      </c>
      <c r="AP7" s="26" t="s">
        <v>62</v>
      </c>
      <c r="AQ7" s="26" t="s">
        <v>33</v>
      </c>
      <c r="AR7" s="26" t="s">
        <v>34</v>
      </c>
    </row>
    <row r="8" spans="2:48" x14ac:dyDescent="0.45">
      <c r="B8" s="21" t="str">
        <f>IF('Initial_Set-Up'!D17="", "", 'Initial_Set-Up'!D17)</f>
        <v>Side Gigs</v>
      </c>
      <c r="C8" s="21" t="b">
        <f>IF('Initial_Set-Up'!E17="", "", 'Initial_Set-Up'!E17)</f>
        <v>1</v>
      </c>
      <c r="D8" s="21" t="str">
        <f t="shared" si="0"/>
        <v>Active</v>
      </c>
      <c r="E8" s="21">
        <f>Budget!G22</f>
        <v>50</v>
      </c>
      <c r="F8" s="21">
        <f>Budget!H22</f>
        <v>1500</v>
      </c>
      <c r="G8" s="21">
        <f>Budget!I22</f>
        <v>50</v>
      </c>
      <c r="H8" s="21">
        <f>Budget!J22</f>
        <v>50</v>
      </c>
      <c r="I8" s="21">
        <f>Budget!K22</f>
        <v>50</v>
      </c>
      <c r="J8" s="21">
        <f>Budget!L22</f>
        <v>50</v>
      </c>
      <c r="K8" s="21">
        <f>Budget!M22</f>
        <v>50</v>
      </c>
      <c r="L8" s="21">
        <f>Budget!N22</f>
        <v>50</v>
      </c>
      <c r="M8" s="21">
        <f>Budget!O22</f>
        <v>50</v>
      </c>
      <c r="N8" s="21">
        <f>Budget!P22</f>
        <v>50</v>
      </c>
      <c r="O8" s="21">
        <f>Budget!Q22</f>
        <v>50</v>
      </c>
      <c r="P8" s="21">
        <f>Budget!R22</f>
        <v>50</v>
      </c>
      <c r="Q8" s="21">
        <f>IF(Budget!S22="", "", Budget!S22)</f>
        <v>2050</v>
      </c>
      <c r="S8" s="26"/>
      <c r="T8" s="26"/>
      <c r="U8" s="26"/>
      <c r="AA8" t="s">
        <v>63</v>
      </c>
      <c r="AB8" t="s">
        <v>64</v>
      </c>
      <c r="AC8" t="s">
        <v>65</v>
      </c>
      <c r="AD8" t="s">
        <v>66</v>
      </c>
      <c r="AG8" s="26" t="s">
        <v>67</v>
      </c>
      <c r="AH8" s="26" t="s">
        <v>68</v>
      </c>
      <c r="AI8" s="26" t="s">
        <v>69</v>
      </c>
      <c r="AJ8" s="26" t="s">
        <v>70</v>
      </c>
      <c r="AO8" s="26">
        <f>GETPIVOTDATA("[Measures].[Total Actuals - Expenses]",$AG$48,"[Category_Sub].[Choice]","[Category_Sub].[Choice].&amp;[Need]")</f>
        <v>8328</v>
      </c>
      <c r="AP8" s="26">
        <f>GETPIVOTDATA("[Measures].[Total Actuals - Expenses]",$AG$48,"[Category_Sub].[Choice]","[Category_Sub].[Choice].&amp;[Want]")</f>
        <v>1037</v>
      </c>
      <c r="AQ8" s="19" t="s">
        <v>61</v>
      </c>
      <c r="AR8" s="19">
        <f>GETPIVOTDATA("[Measures].[Total Actuals - Expenses]",$AG$48,"[Category_Sub].[Choice]","[Category_Sub].[Choice].&amp;[Need]")</f>
        <v>8328</v>
      </c>
    </row>
    <row r="9" spans="2:48" x14ac:dyDescent="0.45">
      <c r="B9" s="21" t="str">
        <f>IF('Initial_Set-Up'!D18="", "", 'Initial_Set-Up'!D18)</f>
        <v/>
      </c>
      <c r="C9" s="21" t="b">
        <f>IF('Initial_Set-Up'!E18="", "", 'Initial_Set-Up'!E18)</f>
        <v>0</v>
      </c>
      <c r="D9" s="21" t="str">
        <f t="shared" si="0"/>
        <v>Passive</v>
      </c>
      <c r="E9" s="21">
        <f>Budget!G23</f>
        <v>0</v>
      </c>
      <c r="F9" s="21">
        <f>Budget!H23</f>
        <v>0</v>
      </c>
      <c r="G9" s="21">
        <f>Budget!I23</f>
        <v>0</v>
      </c>
      <c r="H9" s="21">
        <f>Budget!J23</f>
        <v>0</v>
      </c>
      <c r="I9" s="21">
        <f>Budget!K23</f>
        <v>0</v>
      </c>
      <c r="J9" s="21">
        <f>Budget!L23</f>
        <v>0</v>
      </c>
      <c r="K9" s="21">
        <f>Budget!M23</f>
        <v>0</v>
      </c>
      <c r="L9" s="21">
        <f>Budget!N23</f>
        <v>0</v>
      </c>
      <c r="M9" s="21">
        <f>Budget!O23</f>
        <v>0</v>
      </c>
      <c r="N9" s="21">
        <f>Budget!P23</f>
        <v>0</v>
      </c>
      <c r="O9" s="21">
        <f>Budget!Q23</f>
        <v>0</v>
      </c>
      <c r="P9" s="21">
        <f>Budget!R23</f>
        <v>0</v>
      </c>
      <c r="Q9" s="21">
        <f>IF(Budget!S23="", "", Budget!S23)</f>
        <v>0</v>
      </c>
      <c r="S9" s="26"/>
      <c r="T9" s="26"/>
      <c r="U9" s="26"/>
      <c r="AA9" s="113">
        <v>29890</v>
      </c>
      <c r="AB9" s="113">
        <v>10572</v>
      </c>
      <c r="AC9" s="113">
        <v>1140</v>
      </c>
      <c r="AD9" s="113">
        <v>8040</v>
      </c>
      <c r="AG9" s="26" t="str">
        <f>Currency&amp;" "&amp;GETPIVOTDATA("[Measures].[Total Budget - Income]",$AA$8)</f>
        <v>€ 29890</v>
      </c>
      <c r="AH9" s="26" t="str">
        <f>Currency&amp;" "&amp;GETPIVOTDATA("[Measures].[Total Budget - Expenses]",$AA$8)</f>
        <v>€ 10572</v>
      </c>
      <c r="AI9" s="26" t="str">
        <f>Currency&amp;" "&amp;GETPIVOTDATA("[Measures].[Total Budget - Debt]",$AA$8)</f>
        <v>€ 1140</v>
      </c>
      <c r="AJ9" s="26" t="str">
        <f>Currency&amp;" "&amp;GETPIVOTDATA("[Measures].[Total Budget - Sav &amp; Inv]",$AA$8)</f>
        <v>€ 8040</v>
      </c>
      <c r="AQ9" s="19" t="s">
        <v>62</v>
      </c>
      <c r="AR9" s="19">
        <f>GETPIVOTDATA("[Measures].[Total Actuals - Expenses]",$AG$48,"[Category_Sub].[Choice]","[Category_Sub].[Choice].&amp;[Want]")</f>
        <v>1037</v>
      </c>
    </row>
    <row r="10" spans="2:48" x14ac:dyDescent="0.45">
      <c r="B10" s="21" t="str">
        <f>IF('Initial_Set-Up'!D19="", "", 'Initial_Set-Up'!D19)</f>
        <v/>
      </c>
      <c r="C10" s="21" t="b">
        <f>IF('Initial_Set-Up'!E19="", "", 'Initial_Set-Up'!E19)</f>
        <v>0</v>
      </c>
      <c r="D10" s="21" t="str">
        <f t="shared" si="0"/>
        <v>Passive</v>
      </c>
      <c r="E10" s="21">
        <f>Budget!G24</f>
        <v>0</v>
      </c>
      <c r="F10" s="21">
        <f>Budget!H24</f>
        <v>0</v>
      </c>
      <c r="G10" s="21">
        <f>Budget!I24</f>
        <v>0</v>
      </c>
      <c r="H10" s="21">
        <f>Budget!J24</f>
        <v>0</v>
      </c>
      <c r="I10" s="21">
        <f>Budget!K24</f>
        <v>0</v>
      </c>
      <c r="J10" s="21">
        <f>Budget!L24</f>
        <v>0</v>
      </c>
      <c r="K10" s="21">
        <f>Budget!M24</f>
        <v>0</v>
      </c>
      <c r="L10" s="21">
        <f>Budget!N24</f>
        <v>0</v>
      </c>
      <c r="M10" s="21">
        <f>Budget!O24</f>
        <v>0</v>
      </c>
      <c r="N10" s="21">
        <f>Budget!P24</f>
        <v>0</v>
      </c>
      <c r="O10" s="21">
        <f>Budget!Q24</f>
        <v>0</v>
      </c>
      <c r="P10" s="21">
        <f>Budget!R24</f>
        <v>0</v>
      </c>
      <c r="Q10" s="21">
        <f>IF(Budget!S24="", "", Budget!S24)</f>
        <v>0</v>
      </c>
      <c r="S10" s="26"/>
      <c r="T10" s="26"/>
      <c r="U10" s="26"/>
      <c r="AA10"/>
      <c r="AB10"/>
      <c r="AC10"/>
    </row>
    <row r="11" spans="2:48" x14ac:dyDescent="0.45">
      <c r="B11" s="21" t="str">
        <f>IF('Initial_Set-Up'!D20="", "", 'Initial_Set-Up'!D20)</f>
        <v/>
      </c>
      <c r="C11" s="21" t="b">
        <f>IF('Initial_Set-Up'!E20="", "", 'Initial_Set-Up'!E20)</f>
        <v>0</v>
      </c>
      <c r="D11" s="21" t="str">
        <f t="shared" si="0"/>
        <v>Passive</v>
      </c>
      <c r="E11" s="21">
        <f>Budget!G25</f>
        <v>0</v>
      </c>
      <c r="F11" s="21">
        <f>Budget!H25</f>
        <v>0</v>
      </c>
      <c r="G11" s="21">
        <f>Budget!I25</f>
        <v>0</v>
      </c>
      <c r="H11" s="21">
        <f>Budget!J25</f>
        <v>0</v>
      </c>
      <c r="I11" s="21">
        <f>Budget!K25</f>
        <v>0</v>
      </c>
      <c r="J11" s="21">
        <f>Budget!L25</f>
        <v>0</v>
      </c>
      <c r="K11" s="21">
        <f>Budget!M25</f>
        <v>0</v>
      </c>
      <c r="L11" s="21">
        <f>Budget!N25</f>
        <v>0</v>
      </c>
      <c r="M11" s="21">
        <f>Budget!O25</f>
        <v>0</v>
      </c>
      <c r="N11" s="21">
        <f>Budget!P25</f>
        <v>0</v>
      </c>
      <c r="O11" s="21">
        <f>Budget!Q25</f>
        <v>0</v>
      </c>
      <c r="P11" s="21">
        <f>Budget!R25</f>
        <v>0</v>
      </c>
      <c r="Q11" s="21">
        <f>IF(Budget!S25="", "", Budget!S25)</f>
        <v>0</v>
      </c>
      <c r="S11" s="26"/>
      <c r="T11" s="26"/>
      <c r="U11" s="26"/>
      <c r="AA11"/>
      <c r="AB11"/>
      <c r="AC11"/>
    </row>
    <row r="12" spans="2:48" x14ac:dyDescent="0.45">
      <c r="B12" s="21" t="str">
        <f>IF('Initial_Set-Up'!D21="", "", 'Initial_Set-Up'!D21)</f>
        <v/>
      </c>
      <c r="C12" s="21" t="b">
        <f>IF('Initial_Set-Up'!E21="", "", 'Initial_Set-Up'!E21)</f>
        <v>0</v>
      </c>
      <c r="D12" s="21" t="str">
        <f t="shared" si="0"/>
        <v>Passive</v>
      </c>
      <c r="E12" s="21">
        <f>Budget!G26</f>
        <v>0</v>
      </c>
      <c r="F12" s="21">
        <f>Budget!H26</f>
        <v>0</v>
      </c>
      <c r="G12" s="21">
        <f>Budget!I26</f>
        <v>0</v>
      </c>
      <c r="H12" s="21">
        <f>Budget!J26</f>
        <v>0</v>
      </c>
      <c r="I12" s="21">
        <f>Budget!K26</f>
        <v>0</v>
      </c>
      <c r="J12" s="21">
        <f>Budget!L26</f>
        <v>0</v>
      </c>
      <c r="K12" s="21">
        <f>Budget!M26</f>
        <v>0</v>
      </c>
      <c r="L12" s="21">
        <f>Budget!N26</f>
        <v>0</v>
      </c>
      <c r="M12" s="21">
        <f>Budget!O26</f>
        <v>0</v>
      </c>
      <c r="N12" s="21">
        <f>Budget!P26</f>
        <v>0</v>
      </c>
      <c r="O12" s="21">
        <f>Budget!Q26</f>
        <v>0</v>
      </c>
      <c r="P12" s="21">
        <f>Budget!R26</f>
        <v>0</v>
      </c>
      <c r="Q12" s="21">
        <f>IF(Budget!S26="", "", Budget!S26)</f>
        <v>0</v>
      </c>
      <c r="S12" s="26"/>
      <c r="T12" s="26"/>
      <c r="U12" s="26"/>
      <c r="AA12"/>
      <c r="AB12"/>
      <c r="AC12"/>
      <c r="AO12" s="26" t="s">
        <v>71</v>
      </c>
      <c r="AP12" s="26" t="s">
        <v>72</v>
      </c>
    </row>
    <row r="13" spans="2:48" x14ac:dyDescent="0.45">
      <c r="B13" s="21" t="str">
        <f>IF('Initial_Set-Up'!D22="", "", 'Initial_Set-Up'!D22)</f>
        <v/>
      </c>
      <c r="C13" s="21" t="b">
        <f>IF('Initial_Set-Up'!E22="", "", 'Initial_Set-Up'!E22)</f>
        <v>0</v>
      </c>
      <c r="D13" s="21" t="str">
        <f t="shared" si="0"/>
        <v>Passive</v>
      </c>
      <c r="E13" s="21">
        <f>Budget!G27</f>
        <v>0</v>
      </c>
      <c r="F13" s="21">
        <f>Budget!H27</f>
        <v>0</v>
      </c>
      <c r="G13" s="21">
        <f>Budget!I27</f>
        <v>0</v>
      </c>
      <c r="H13" s="21">
        <f>Budget!J27</f>
        <v>0</v>
      </c>
      <c r="I13" s="21">
        <f>Budget!K27</f>
        <v>0</v>
      </c>
      <c r="J13" s="21">
        <f>Budget!L27</f>
        <v>0</v>
      </c>
      <c r="K13" s="21">
        <f>Budget!M27</f>
        <v>0</v>
      </c>
      <c r="L13" s="21">
        <f>Budget!N27</f>
        <v>0</v>
      </c>
      <c r="M13" s="21">
        <f>Budget!O27</f>
        <v>0</v>
      </c>
      <c r="N13" s="21">
        <f>Budget!P27</f>
        <v>0</v>
      </c>
      <c r="O13" s="21">
        <f>Budget!Q27</f>
        <v>0</v>
      </c>
      <c r="P13" s="21">
        <f>Budget!R27</f>
        <v>0</v>
      </c>
      <c r="Q13" s="21">
        <f>IF(Budget!S27="", "", Budget!S27)</f>
        <v>0</v>
      </c>
      <c r="S13" s="26"/>
      <c r="T13" s="26"/>
      <c r="U13" s="26"/>
      <c r="AA13"/>
      <c r="AB13"/>
      <c r="AC13"/>
    </row>
    <row r="14" spans="2:48" x14ac:dyDescent="0.45">
      <c r="S14" s="26"/>
      <c r="T14" s="26"/>
      <c r="U14" s="26"/>
      <c r="AA14" t="s">
        <v>73</v>
      </c>
      <c r="AB14" t="s">
        <v>74</v>
      </c>
      <c r="AC14" t="s">
        <v>75</v>
      </c>
      <c r="AD14" t="s">
        <v>76</v>
      </c>
      <c r="AG14" s="26" t="s">
        <v>77</v>
      </c>
      <c r="AH14" s="26" t="s">
        <v>78</v>
      </c>
      <c r="AI14" s="26" t="s">
        <v>79</v>
      </c>
      <c r="AJ14" s="26" t="s">
        <v>80</v>
      </c>
    </row>
    <row r="15" spans="2:48" x14ac:dyDescent="0.45">
      <c r="S15" s="26"/>
      <c r="T15" s="26"/>
      <c r="U15" s="26"/>
      <c r="AA15" s="113">
        <v>20420</v>
      </c>
      <c r="AB15" s="113">
        <v>1207</v>
      </c>
      <c r="AC15" s="113">
        <v>-1100</v>
      </c>
      <c r="AD15" s="113">
        <v>6203</v>
      </c>
      <c r="AG15" s="26" t="str">
        <f>Currency&amp;" "&amp;GETPIVOTDATA("[Measures].[Difference - Income]",$AA$14)</f>
        <v>€ 20420</v>
      </c>
      <c r="AH15" s="26" t="str">
        <f>Currency&amp;" "&amp;GETPIVOTDATA("[Measures].[Difference - Expense]",$AA$14)</f>
        <v>€ 1207</v>
      </c>
      <c r="AI15" s="26" t="str">
        <f>Currency&amp;" "&amp;GETPIVOTDATA("[Measures].[Difference - Debt]",$AA$14)</f>
        <v>€ -1100</v>
      </c>
      <c r="AJ15" s="26" t="str">
        <f>Currency&amp;" "&amp;GETPIVOTDATA("[Measures].[Difference - Sav &amp; Inv]",$AA$14)</f>
        <v>€ 6203</v>
      </c>
    </row>
    <row r="16" spans="2:48" x14ac:dyDescent="0.45">
      <c r="S16" s="26"/>
      <c r="T16" s="26"/>
      <c r="U16" s="26"/>
      <c r="AA16"/>
      <c r="AB16"/>
      <c r="AC16"/>
    </row>
    <row r="17" spans="2:41" x14ac:dyDescent="0.45">
      <c r="B17" s="19" t="s">
        <v>35</v>
      </c>
      <c r="C17" s="19" t="s">
        <v>36</v>
      </c>
      <c r="D17" s="19" t="s">
        <v>37</v>
      </c>
      <c r="E17" s="19" t="s">
        <v>38</v>
      </c>
      <c r="F17" s="19" t="s">
        <v>39</v>
      </c>
      <c r="G17" s="19" t="s">
        <v>40</v>
      </c>
      <c r="H17" s="19" t="s">
        <v>41</v>
      </c>
      <c r="I17" s="19" t="s">
        <v>42</v>
      </c>
      <c r="J17" s="19" t="s">
        <v>43</v>
      </c>
      <c r="K17" s="19" t="s">
        <v>44</v>
      </c>
      <c r="L17" s="19" t="s">
        <v>45</v>
      </c>
      <c r="M17" s="19" t="s">
        <v>46</v>
      </c>
      <c r="N17" s="19" t="s">
        <v>47</v>
      </c>
      <c r="O17" s="19" t="s">
        <v>48</v>
      </c>
      <c r="P17" s="19" t="s">
        <v>49</v>
      </c>
      <c r="Q17" s="19" t="s">
        <v>50</v>
      </c>
      <c r="S17" s="26" t="s">
        <v>33</v>
      </c>
      <c r="T17" s="26" t="s">
        <v>34</v>
      </c>
      <c r="U17" s="26"/>
      <c r="AA17"/>
      <c r="AB17"/>
      <c r="AC17"/>
      <c r="AG17" s="26" t="s">
        <v>77</v>
      </c>
      <c r="AH17" s="26" t="s">
        <v>78</v>
      </c>
      <c r="AI17" s="26" t="s">
        <v>79</v>
      </c>
      <c r="AJ17" s="26" t="s">
        <v>80</v>
      </c>
    </row>
    <row r="18" spans="2:41" x14ac:dyDescent="0.45">
      <c r="B18" s="19" t="str">
        <f>IF('Initial_Set-Up'!I13="","",'Initial_Set-Up'!I13)</f>
        <v>Rent</v>
      </c>
      <c r="C18" s="19" t="b">
        <f>IF('Initial_Set-Up'!J13="","",'Initial_Set-Up'!J13)</f>
        <v>1</v>
      </c>
      <c r="D18" s="19" t="str">
        <f>IF(C18=TRUE, "Need", "Want")</f>
        <v>Need</v>
      </c>
      <c r="E18" s="19">
        <f>Budget!G40</f>
        <v>500</v>
      </c>
      <c r="F18" s="19">
        <f>Budget!H40</f>
        <v>500</v>
      </c>
      <c r="G18" s="19">
        <f>Budget!I40</f>
        <v>500</v>
      </c>
      <c r="H18" s="19">
        <f>Budget!J40</f>
        <v>500</v>
      </c>
      <c r="I18" s="19">
        <f>Budget!K40</f>
        <v>500</v>
      </c>
      <c r="J18" s="19">
        <f>Budget!L40</f>
        <v>500</v>
      </c>
      <c r="K18" s="19">
        <f>Budget!M40</f>
        <v>500</v>
      </c>
      <c r="L18" s="19">
        <f>Budget!N40</f>
        <v>500</v>
      </c>
      <c r="M18" s="19">
        <f>Budget!O40</f>
        <v>500</v>
      </c>
      <c r="N18" s="19">
        <f>Budget!P40</f>
        <v>500</v>
      </c>
      <c r="O18" s="19">
        <f>Budget!Q40</f>
        <v>500</v>
      </c>
      <c r="P18" s="19">
        <f>Budget!R40</f>
        <v>500</v>
      </c>
      <c r="Q18" s="19">
        <f>Budget!S40</f>
        <v>6000</v>
      </c>
      <c r="S18" s="19" t="s">
        <v>61</v>
      </c>
      <c r="T18" s="77">
        <f>SUMIF(D18:D37, "Need", Q18:Q37)</f>
        <v>9936</v>
      </c>
      <c r="U18" s="26"/>
      <c r="AA18"/>
      <c r="AB18"/>
      <c r="AC18"/>
      <c r="AG18" s="26">
        <f>GETPIVOTDATA("[Measures].[Difference - Income]",$AA$14)</f>
        <v>20420</v>
      </c>
      <c r="AH18" s="26">
        <f>GETPIVOTDATA("[Measures].[Difference - Expense]",$AA$14)</f>
        <v>1207</v>
      </c>
      <c r="AI18" s="26">
        <f>GETPIVOTDATA("[Measures].[Difference - Debt]",$AA$14)</f>
        <v>-1100</v>
      </c>
      <c r="AJ18" s="26">
        <f>GETPIVOTDATA("[Measures].[Difference - Sav &amp; Inv]",$AA$14)</f>
        <v>6203</v>
      </c>
    </row>
    <row r="19" spans="2:41" x14ac:dyDescent="0.45">
      <c r="B19" s="19" t="str">
        <f>IF('Initial_Set-Up'!I14="","",'Initial_Set-Up'!I14)</f>
        <v>Utilities &amp; Internet</v>
      </c>
      <c r="C19" s="19" t="b">
        <f>IF('Initial_Set-Up'!J14="","",'Initial_Set-Up'!J14)</f>
        <v>1</v>
      </c>
      <c r="D19" s="19" t="str">
        <f t="shared" ref="D19:D27" si="1">IF(C19=TRUE, "Need", "Want")</f>
        <v>Need</v>
      </c>
      <c r="E19" s="19">
        <f>Budget!G41</f>
        <v>8</v>
      </c>
      <c r="F19" s="19">
        <f>Budget!H41</f>
        <v>8</v>
      </c>
      <c r="G19" s="19">
        <f>Budget!I41</f>
        <v>8</v>
      </c>
      <c r="H19" s="19">
        <f>Budget!J41</f>
        <v>8</v>
      </c>
      <c r="I19" s="19">
        <f>Budget!K41</f>
        <v>8</v>
      </c>
      <c r="J19" s="19">
        <f>Budget!L41</f>
        <v>8</v>
      </c>
      <c r="K19" s="19">
        <f>Budget!M41</f>
        <v>8</v>
      </c>
      <c r="L19" s="19">
        <f>Budget!N41</f>
        <v>8</v>
      </c>
      <c r="M19" s="19">
        <f>Budget!O41</f>
        <v>8</v>
      </c>
      <c r="N19" s="19">
        <f>Budget!P41</f>
        <v>8</v>
      </c>
      <c r="O19" s="19">
        <f>Budget!Q41</f>
        <v>8</v>
      </c>
      <c r="P19" s="19">
        <f>Budget!R41</f>
        <v>8</v>
      </c>
      <c r="Q19" s="19">
        <f>Budget!S41</f>
        <v>96</v>
      </c>
      <c r="S19" s="19" t="s">
        <v>62</v>
      </c>
      <c r="T19" s="77">
        <f>SUMIF(D18:D37, "Want", Q18:Q37)</f>
        <v>636</v>
      </c>
      <c r="U19" s="26"/>
      <c r="AA19"/>
      <c r="AB19"/>
      <c r="AC19"/>
    </row>
    <row r="20" spans="2:41" x14ac:dyDescent="0.45">
      <c r="B20" s="19" t="str">
        <f>IF('Initial_Set-Up'!I15="","",'Initial_Set-Up'!I15)</f>
        <v>Groceries</v>
      </c>
      <c r="C20" s="19" t="b">
        <f>IF('Initial_Set-Up'!J15="","",'Initial_Set-Up'!J15)</f>
        <v>1</v>
      </c>
      <c r="D20" s="19" t="str">
        <f t="shared" si="1"/>
        <v>Need</v>
      </c>
      <c r="E20" s="19">
        <f>Budget!G42</f>
        <v>200</v>
      </c>
      <c r="F20" s="19">
        <f>Budget!H42</f>
        <v>200</v>
      </c>
      <c r="G20" s="19">
        <f>Budget!I42</f>
        <v>200</v>
      </c>
      <c r="H20" s="19">
        <f>Budget!J42</f>
        <v>200</v>
      </c>
      <c r="I20" s="19">
        <f>Budget!K42</f>
        <v>200</v>
      </c>
      <c r="J20" s="19">
        <f>Budget!L42</f>
        <v>200</v>
      </c>
      <c r="K20" s="19">
        <f>Budget!M42</f>
        <v>200</v>
      </c>
      <c r="L20" s="19">
        <f>Budget!N42</f>
        <v>200</v>
      </c>
      <c r="M20" s="19">
        <f>Budget!O42</f>
        <v>200</v>
      </c>
      <c r="N20" s="19">
        <f>Budget!P42</f>
        <v>200</v>
      </c>
      <c r="O20" s="19">
        <f>Budget!Q42</f>
        <v>200</v>
      </c>
      <c r="P20" s="19">
        <f>Budget!R42</f>
        <v>200</v>
      </c>
      <c r="Q20" s="19">
        <f>Budget!S42</f>
        <v>2400</v>
      </c>
      <c r="S20" s="26"/>
      <c r="T20" s="26"/>
      <c r="U20" s="26"/>
      <c r="AA20"/>
      <c r="AB20"/>
      <c r="AC20"/>
      <c r="AG20" s="26" t="s">
        <v>81</v>
      </c>
      <c r="AH20" s="26" t="s">
        <v>82</v>
      </c>
      <c r="AI20" s="26" t="s">
        <v>83</v>
      </c>
      <c r="AJ20" s="26" t="s">
        <v>84</v>
      </c>
    </row>
    <row r="21" spans="2:41" x14ac:dyDescent="0.45">
      <c r="B21" s="19" t="str">
        <f>IF('Initial_Set-Up'!I16="","",'Initial_Set-Up'!I16)</f>
        <v>Transport</v>
      </c>
      <c r="C21" s="19" t="b">
        <f>IF('Initial_Set-Up'!J16="","",'Initial_Set-Up'!J16)</f>
        <v>1</v>
      </c>
      <c r="D21" s="19" t="str">
        <f t="shared" si="1"/>
        <v>Need</v>
      </c>
      <c r="E21" s="19">
        <f>Budget!G43</f>
        <v>100</v>
      </c>
      <c r="F21" s="19">
        <f>Budget!H43</f>
        <v>100</v>
      </c>
      <c r="G21" s="19">
        <f>Budget!I43</f>
        <v>100</v>
      </c>
      <c r="H21" s="19">
        <f>Budget!J43</f>
        <v>100</v>
      </c>
      <c r="I21" s="19">
        <f>Budget!K43</f>
        <v>100</v>
      </c>
      <c r="J21" s="19">
        <f>Budget!L43</f>
        <v>100</v>
      </c>
      <c r="K21" s="19">
        <f>Budget!M43</f>
        <v>100</v>
      </c>
      <c r="L21" s="19">
        <f>Budget!N43</f>
        <v>100</v>
      </c>
      <c r="M21" s="19">
        <f>Budget!O43</f>
        <v>100</v>
      </c>
      <c r="N21" s="19">
        <f>Budget!P43</f>
        <v>100</v>
      </c>
      <c r="O21" s="19">
        <f>Budget!Q43</f>
        <v>100</v>
      </c>
      <c r="P21" s="19">
        <f>Budget!R43</f>
        <v>100</v>
      </c>
      <c r="Q21" s="19">
        <f>Budget!S43</f>
        <v>1200</v>
      </c>
      <c r="S21" s="26"/>
      <c r="T21" s="26"/>
      <c r="AA21"/>
      <c r="AB21"/>
      <c r="AC21"/>
      <c r="AG21" s="26" t="str">
        <f>IF(AG18&gt;0,"Under budget",IF(AG18&lt;0,"Over budget","In line with budget"))</f>
        <v>Under budget</v>
      </c>
      <c r="AH21" s="26" t="str">
        <f>IF(AH18&gt;0,"Under budget",IF(AH18&lt;0,"Over budget","In line with budget"))</f>
        <v>Under budget</v>
      </c>
      <c r="AI21" s="26" t="str">
        <f>IF(AI18&gt;0,"Under budget",IF(AI18&lt;0,"Over budget","In line with budget"))</f>
        <v>Over budget</v>
      </c>
      <c r="AJ21" s="26" t="str">
        <f>IF(AJ18&gt;0,"Under budget",IF(AJ18&lt;0,"Over budget","In line with budget"))</f>
        <v>Under budget</v>
      </c>
    </row>
    <row r="22" spans="2:41" x14ac:dyDescent="0.45">
      <c r="B22" s="19" t="str">
        <f>IF('Initial_Set-Up'!I17="","",'Initial_Set-Up'!I17)</f>
        <v>Health &amp; Pharmacy</v>
      </c>
      <c r="C22" s="19" t="b">
        <f>IF('Initial_Set-Up'!J17="","",'Initial_Set-Up'!J17)</f>
        <v>1</v>
      </c>
      <c r="D22" s="19" t="str">
        <f t="shared" si="1"/>
        <v>Need</v>
      </c>
      <c r="E22" s="19">
        <f>Budget!G44</f>
        <v>20</v>
      </c>
      <c r="F22" s="19">
        <f>Budget!H44</f>
        <v>20</v>
      </c>
      <c r="G22" s="19">
        <f>Budget!I44</f>
        <v>20</v>
      </c>
      <c r="H22" s="19">
        <f>Budget!J44</f>
        <v>20</v>
      </c>
      <c r="I22" s="19">
        <f>Budget!K44</f>
        <v>20</v>
      </c>
      <c r="J22" s="19">
        <f>Budget!L44</f>
        <v>20</v>
      </c>
      <c r="K22" s="19">
        <f>Budget!M44</f>
        <v>20</v>
      </c>
      <c r="L22" s="19">
        <f>Budget!N44</f>
        <v>20</v>
      </c>
      <c r="M22" s="19">
        <f>Budget!O44</f>
        <v>20</v>
      </c>
      <c r="N22" s="19">
        <f>Budget!P44</f>
        <v>20</v>
      </c>
      <c r="O22" s="19">
        <f>Budget!Q44</f>
        <v>20</v>
      </c>
      <c r="P22" s="19">
        <f>Budget!R44</f>
        <v>20</v>
      </c>
      <c r="Q22" s="19">
        <f>Budget!S44</f>
        <v>240</v>
      </c>
      <c r="AA22" t="s">
        <v>85</v>
      </c>
      <c r="AB22" t="s">
        <v>86</v>
      </c>
      <c r="AC22" t="s">
        <v>87</v>
      </c>
      <c r="AD22" t="s">
        <v>88</v>
      </c>
    </row>
    <row r="23" spans="2:41" x14ac:dyDescent="0.45">
      <c r="B23" s="19" t="str">
        <f>IF('Initial_Set-Up'!I18="","",'Initial_Set-Up'!I18)</f>
        <v>Eating Out</v>
      </c>
      <c r="C23" s="19" t="b">
        <f>IF('Initial_Set-Up'!J18="","",'Initial_Set-Up'!J18)</f>
        <v>0</v>
      </c>
      <c r="D23" s="19" t="str">
        <f t="shared" si="1"/>
        <v>Want</v>
      </c>
      <c r="E23" s="19">
        <f>Budget!G45</f>
        <v>10</v>
      </c>
      <c r="F23" s="19">
        <f>Budget!H45</f>
        <v>10</v>
      </c>
      <c r="G23" s="19">
        <f>Budget!I45</f>
        <v>10</v>
      </c>
      <c r="H23" s="19">
        <f>Budget!J45</f>
        <v>10</v>
      </c>
      <c r="I23" s="19">
        <f>Budget!K45</f>
        <v>10</v>
      </c>
      <c r="J23" s="19">
        <f>Budget!L45</f>
        <v>10</v>
      </c>
      <c r="K23" s="19">
        <f>Budget!M45</f>
        <v>10</v>
      </c>
      <c r="L23" s="19">
        <f>Budget!N45</f>
        <v>10</v>
      </c>
      <c r="M23" s="19">
        <f>Budget!O45</f>
        <v>10</v>
      </c>
      <c r="N23" s="19">
        <f>Budget!P45</f>
        <v>10</v>
      </c>
      <c r="O23" s="19">
        <f>Budget!Q45</f>
        <v>10</v>
      </c>
      <c r="P23" s="19">
        <f>Budget!R45</f>
        <v>10</v>
      </c>
      <c r="Q23" s="19">
        <f>Budget!S45</f>
        <v>120</v>
      </c>
      <c r="AA23" s="113">
        <v>0.31682837069253933</v>
      </c>
      <c r="AB23" s="113">
        <v>0.88583049564888383</v>
      </c>
      <c r="AC23" s="113">
        <v>1.9649122807017543</v>
      </c>
      <c r="AD23" s="113">
        <v>0.22848258706467661</v>
      </c>
    </row>
    <row r="24" spans="2:41" x14ac:dyDescent="0.45">
      <c r="B24" s="19" t="str">
        <f>IF('Initial_Set-Up'!I19="","",'Initial_Set-Up'!I19)</f>
        <v>Subscriptions</v>
      </c>
      <c r="C24" s="19" t="b">
        <f>IF('Initial_Set-Up'!J19="","",'Initial_Set-Up'!J19)</f>
        <v>0</v>
      </c>
      <c r="D24" s="19" t="str">
        <f t="shared" si="1"/>
        <v>Want</v>
      </c>
      <c r="E24" s="19">
        <f>Budget!G46</f>
        <v>5</v>
      </c>
      <c r="F24" s="19">
        <f>Budget!H46</f>
        <v>5</v>
      </c>
      <c r="G24" s="19">
        <f>Budget!I46</f>
        <v>5</v>
      </c>
      <c r="H24" s="19">
        <f>Budget!J46</f>
        <v>5</v>
      </c>
      <c r="I24" s="19">
        <f>Budget!K46</f>
        <v>5</v>
      </c>
      <c r="J24" s="19">
        <f>Budget!L46</f>
        <v>5</v>
      </c>
      <c r="K24" s="19">
        <f>Budget!M46</f>
        <v>5</v>
      </c>
      <c r="L24" s="19">
        <f>Budget!N46</f>
        <v>5</v>
      </c>
      <c r="M24" s="19">
        <f>Budget!O46</f>
        <v>5</v>
      </c>
      <c r="N24" s="19">
        <f>Budget!P46</f>
        <v>5</v>
      </c>
      <c r="O24" s="19">
        <f>Budget!Q46</f>
        <v>5</v>
      </c>
      <c r="P24" s="19">
        <f>Budget!R46</f>
        <v>5</v>
      </c>
      <c r="Q24" s="19">
        <f>Budget!S46</f>
        <v>60</v>
      </c>
      <c r="AA24"/>
      <c r="AB24"/>
      <c r="AC24"/>
      <c r="AG24" s="26" t="s">
        <v>85</v>
      </c>
      <c r="AH24" s="26" t="s">
        <v>86</v>
      </c>
      <c r="AI24" s="26" t="s">
        <v>87</v>
      </c>
      <c r="AJ24" s="26" t="s">
        <v>89</v>
      </c>
    </row>
    <row r="25" spans="2:41" x14ac:dyDescent="0.45">
      <c r="B25" s="19" t="str">
        <f>IF('Initial_Set-Up'!I20="","",'Initial_Set-Up'!I20)</f>
        <v>Shopping</v>
      </c>
      <c r="C25" s="19" t="b">
        <f>IF('Initial_Set-Up'!J20="","",'Initial_Set-Up'!J20)</f>
        <v>0</v>
      </c>
      <c r="D25" s="19" t="str">
        <f t="shared" si="1"/>
        <v>Want</v>
      </c>
      <c r="E25" s="19">
        <f>Budget!G47</f>
        <v>30</v>
      </c>
      <c r="F25" s="19">
        <f>Budget!H47</f>
        <v>30</v>
      </c>
      <c r="G25" s="19">
        <f>Budget!I47</f>
        <v>30</v>
      </c>
      <c r="H25" s="19">
        <f>Budget!J47</f>
        <v>30</v>
      </c>
      <c r="I25" s="19">
        <f>Budget!K47</f>
        <v>30</v>
      </c>
      <c r="J25" s="19">
        <f>Budget!L47</f>
        <v>30</v>
      </c>
      <c r="K25" s="19">
        <f>Budget!M47</f>
        <v>30</v>
      </c>
      <c r="L25" s="19">
        <f>Budget!N47</f>
        <v>30</v>
      </c>
      <c r="M25" s="19">
        <f>Budget!O47</f>
        <v>30</v>
      </c>
      <c r="N25" s="19">
        <f>Budget!P47</f>
        <v>30</v>
      </c>
      <c r="O25" s="19">
        <f>Budget!Q47</f>
        <v>30</v>
      </c>
      <c r="P25" s="19">
        <f>Budget!R47</f>
        <v>30</v>
      </c>
      <c r="Q25" s="19">
        <f>Budget!S47</f>
        <v>360</v>
      </c>
      <c r="AA25"/>
      <c r="AB25"/>
      <c r="AC25"/>
      <c r="AG25" s="26">
        <f>GETPIVOTDATA("[Measures].[A/B_Income]",$AA$22)</f>
        <v>0.31682837069253933</v>
      </c>
      <c r="AH25" s="26">
        <f>GETPIVOTDATA("[Measures].[A/B_Expenses]",$AA$22)</f>
        <v>0.88583049564888383</v>
      </c>
      <c r="AI25" s="26">
        <f>GETPIVOTDATA("[Measures].[A/B_Debt]",$AA$22)</f>
        <v>1.9649122807017543</v>
      </c>
      <c r="AJ25" s="26">
        <f>GETPIVOTDATA("[Measures].[A/B_Sav &amp; Inv]",$AA$22)</f>
        <v>0.22848258706467661</v>
      </c>
    </row>
    <row r="26" spans="2:41" x14ac:dyDescent="0.45">
      <c r="B26" s="19" t="str">
        <f>IF('Initial_Set-Up'!I21="","",'Initial_Set-Up'!I21)</f>
        <v>Leisure</v>
      </c>
      <c r="C26" s="19" t="b">
        <f>IF('Initial_Set-Up'!J21="","",'Initial_Set-Up'!J21)</f>
        <v>0</v>
      </c>
      <c r="D26" s="19" t="str">
        <f t="shared" si="1"/>
        <v>Want</v>
      </c>
      <c r="E26" s="19">
        <f>Budget!G48</f>
        <v>5</v>
      </c>
      <c r="F26" s="19">
        <f>Budget!H48</f>
        <v>5</v>
      </c>
      <c r="G26" s="19">
        <f>Budget!I48</f>
        <v>5</v>
      </c>
      <c r="H26" s="19">
        <f>Budget!J48</f>
        <v>5</v>
      </c>
      <c r="I26" s="19">
        <f>Budget!K48</f>
        <v>5</v>
      </c>
      <c r="J26" s="19">
        <f>Budget!L48</f>
        <v>5</v>
      </c>
      <c r="K26" s="19">
        <f>Budget!M48</f>
        <v>5</v>
      </c>
      <c r="L26" s="19">
        <f>Budget!N48</f>
        <v>5</v>
      </c>
      <c r="M26" s="19">
        <f>Budget!O48</f>
        <v>5</v>
      </c>
      <c r="N26" s="19">
        <f>Budget!P48</f>
        <v>5</v>
      </c>
      <c r="O26" s="19">
        <f>Budget!Q48</f>
        <v>5</v>
      </c>
      <c r="P26" s="19">
        <f>Budget!R48</f>
        <v>5</v>
      </c>
      <c r="Q26" s="19">
        <f>Budget!S48</f>
        <v>60</v>
      </c>
      <c r="AA26"/>
      <c r="AB26"/>
      <c r="AC26"/>
    </row>
    <row r="27" spans="2:41" x14ac:dyDescent="0.45">
      <c r="B27" s="19" t="str">
        <f>IF('Initial_Set-Up'!I22="","",'Initial_Set-Up'!I22)</f>
        <v>Gym</v>
      </c>
      <c r="C27" s="19" t="b">
        <f>IF('Initial_Set-Up'!J22="","",'Initial_Set-Up'!J22)</f>
        <v>0</v>
      </c>
      <c r="D27" s="19" t="str">
        <f t="shared" si="1"/>
        <v>Want</v>
      </c>
      <c r="E27" s="19">
        <f>Budget!G49</f>
        <v>5</v>
      </c>
      <c r="F27" s="19">
        <f>Budget!H49</f>
        <v>8</v>
      </c>
      <c r="G27" s="19">
        <f>Budget!I49</f>
        <v>15</v>
      </c>
      <c r="H27" s="19">
        <f>Budget!J49</f>
        <v>8</v>
      </c>
      <c r="I27" s="19">
        <f>Budget!K49</f>
        <v>0</v>
      </c>
      <c r="J27" s="19">
        <f>Budget!L49</f>
        <v>0</v>
      </c>
      <c r="K27" s="19">
        <f>Budget!M49</f>
        <v>0</v>
      </c>
      <c r="L27" s="19">
        <f>Budget!N49</f>
        <v>0</v>
      </c>
      <c r="M27" s="19">
        <f>Budget!O49</f>
        <v>0</v>
      </c>
      <c r="N27" s="19">
        <f>Budget!P49</f>
        <v>0</v>
      </c>
      <c r="O27" s="19">
        <f>Budget!Q49</f>
        <v>0</v>
      </c>
      <c r="P27" s="19">
        <f>Budget!R49</f>
        <v>0</v>
      </c>
      <c r="Q27" s="19">
        <f>Budget!S49</f>
        <v>36</v>
      </c>
      <c r="AA27"/>
      <c r="AB27"/>
      <c r="AC27"/>
      <c r="AO27" s="26" t="s">
        <v>90</v>
      </c>
    </row>
    <row r="28" spans="2:41" x14ac:dyDescent="0.45">
      <c r="B28" s="19" t="str">
        <f>IF('Initial_Set-Up'!I23="","",'Initial_Set-Up'!I23)</f>
        <v/>
      </c>
      <c r="C28" s="19" t="b">
        <f>IF('Initial_Set-Up'!J23="","",'Initial_Set-Up'!J23)</f>
        <v>0</v>
      </c>
      <c r="D28" s="19" t="str">
        <f t="shared" ref="D28:D37" si="2">IF(C28=TRUE, "Need", "Want")</f>
        <v>Want</v>
      </c>
      <c r="E28" s="19">
        <f>Budget!G50</f>
        <v>0</v>
      </c>
      <c r="F28" s="19">
        <f>Budget!H50</f>
        <v>0</v>
      </c>
      <c r="G28" s="19">
        <f>Budget!I50</f>
        <v>0</v>
      </c>
      <c r="H28" s="19">
        <f>Budget!J50</f>
        <v>0</v>
      </c>
      <c r="I28" s="19">
        <f>Budget!K50</f>
        <v>0</v>
      </c>
      <c r="J28" s="19">
        <f>Budget!L50</f>
        <v>0</v>
      </c>
      <c r="K28" s="19">
        <f>Budget!M50</f>
        <v>0</v>
      </c>
      <c r="L28" s="19">
        <f>Budget!N50</f>
        <v>0</v>
      </c>
      <c r="M28" s="19">
        <f>Budget!O50</f>
        <v>0</v>
      </c>
      <c r="N28" s="19">
        <f>Budget!P50</f>
        <v>0</v>
      </c>
      <c r="O28" s="19">
        <f>Budget!Q50</f>
        <v>0</v>
      </c>
      <c r="P28" s="19">
        <f>Budget!R50</f>
        <v>0</v>
      </c>
      <c r="Q28" s="19">
        <f>Budget!S50</f>
        <v>0</v>
      </c>
      <c r="AA28"/>
      <c r="AB28"/>
      <c r="AC28"/>
    </row>
    <row r="29" spans="2:41" x14ac:dyDescent="0.45">
      <c r="B29" s="19" t="str">
        <f>IF('Initial_Set-Up'!I24="","",'Initial_Set-Up'!I24)</f>
        <v/>
      </c>
      <c r="C29" s="19" t="b">
        <f>IF('Initial_Set-Up'!J24="","",'Initial_Set-Up'!J24)</f>
        <v>0</v>
      </c>
      <c r="D29" s="19" t="str">
        <f t="shared" si="2"/>
        <v>Want</v>
      </c>
      <c r="E29" s="19">
        <f>Budget!G51</f>
        <v>0</v>
      </c>
      <c r="F29" s="19">
        <f>Budget!H51</f>
        <v>0</v>
      </c>
      <c r="G29" s="19">
        <f>Budget!I51</f>
        <v>0</v>
      </c>
      <c r="H29" s="19">
        <f>Budget!J51</f>
        <v>0</v>
      </c>
      <c r="I29" s="19">
        <f>Budget!K51</f>
        <v>0</v>
      </c>
      <c r="J29" s="19">
        <f>Budget!L51</f>
        <v>0</v>
      </c>
      <c r="K29" s="19">
        <f>Budget!M51</f>
        <v>0</v>
      </c>
      <c r="L29" s="19">
        <f>Budget!N51</f>
        <v>0</v>
      </c>
      <c r="M29" s="19">
        <f>Budget!O51</f>
        <v>0</v>
      </c>
      <c r="N29" s="19">
        <f>Budget!P51</f>
        <v>0</v>
      </c>
      <c r="O29" s="19">
        <f>Budget!Q51</f>
        <v>0</v>
      </c>
      <c r="P29" s="19">
        <f>Budget!R51</f>
        <v>0</v>
      </c>
      <c r="Q29" s="19">
        <f>Budget!S51</f>
        <v>0</v>
      </c>
      <c r="AA29"/>
      <c r="AB29"/>
      <c r="AC29"/>
    </row>
    <row r="30" spans="2:41" x14ac:dyDescent="0.45">
      <c r="B30" s="19" t="str">
        <f>IF('Initial_Set-Up'!I25="","",'Initial_Set-Up'!I25)</f>
        <v/>
      </c>
      <c r="C30" s="19" t="b">
        <f>IF('Initial_Set-Up'!J25="","",'Initial_Set-Up'!J25)</f>
        <v>0</v>
      </c>
      <c r="D30" s="19" t="str">
        <f t="shared" si="2"/>
        <v>Want</v>
      </c>
      <c r="E30" s="19">
        <f>Budget!G52</f>
        <v>0</v>
      </c>
      <c r="F30" s="19">
        <f>Budget!H52</f>
        <v>0</v>
      </c>
      <c r="G30" s="19">
        <f>Budget!I52</f>
        <v>0</v>
      </c>
      <c r="H30" s="19">
        <f>Budget!J52</f>
        <v>0</v>
      </c>
      <c r="I30" s="19">
        <f>Budget!K52</f>
        <v>0</v>
      </c>
      <c r="J30" s="19">
        <f>Budget!L52</f>
        <v>0</v>
      </c>
      <c r="K30" s="19">
        <f>Budget!M52</f>
        <v>0</v>
      </c>
      <c r="L30" s="19">
        <f>Budget!N52</f>
        <v>0</v>
      </c>
      <c r="M30" s="19">
        <f>Budget!O52</f>
        <v>0</v>
      </c>
      <c r="N30" s="19">
        <f>Budget!P52</f>
        <v>0</v>
      </c>
      <c r="O30" s="19">
        <f>Budget!Q52</f>
        <v>0</v>
      </c>
      <c r="P30" s="19">
        <f>Budget!R52</f>
        <v>0</v>
      </c>
      <c r="Q30" s="19">
        <f>Budget!S52</f>
        <v>0</v>
      </c>
      <c r="AA30"/>
      <c r="AB30"/>
      <c r="AC30"/>
    </row>
    <row r="31" spans="2:41" x14ac:dyDescent="0.45">
      <c r="B31" s="19" t="str">
        <f>IF('Initial_Set-Up'!I26="","",'Initial_Set-Up'!I26)</f>
        <v/>
      </c>
      <c r="C31" s="19" t="b">
        <f>IF('Initial_Set-Up'!J26="","",'Initial_Set-Up'!J26)</f>
        <v>0</v>
      </c>
      <c r="D31" s="19" t="str">
        <f t="shared" si="2"/>
        <v>Want</v>
      </c>
      <c r="E31" s="19">
        <f>Budget!G53</f>
        <v>0</v>
      </c>
      <c r="F31" s="19">
        <f>Budget!H53</f>
        <v>0</v>
      </c>
      <c r="G31" s="19">
        <f>Budget!I53</f>
        <v>0</v>
      </c>
      <c r="H31" s="19">
        <f>Budget!J53</f>
        <v>0</v>
      </c>
      <c r="I31" s="19">
        <f>Budget!K53</f>
        <v>0</v>
      </c>
      <c r="J31" s="19">
        <f>Budget!L53</f>
        <v>0</v>
      </c>
      <c r="K31" s="19">
        <f>Budget!M53</f>
        <v>0</v>
      </c>
      <c r="L31" s="19">
        <f>Budget!N53</f>
        <v>0</v>
      </c>
      <c r="M31" s="19">
        <f>Budget!O53</f>
        <v>0</v>
      </c>
      <c r="N31" s="19">
        <f>Budget!P53</f>
        <v>0</v>
      </c>
      <c r="O31" s="19">
        <f>Budget!Q53</f>
        <v>0</v>
      </c>
      <c r="P31" s="19">
        <f>Budget!R53</f>
        <v>0</v>
      </c>
      <c r="Q31" s="19">
        <f>Budget!S53</f>
        <v>0</v>
      </c>
      <c r="AA31"/>
      <c r="AB31"/>
      <c r="AC31"/>
    </row>
    <row r="32" spans="2:41" x14ac:dyDescent="0.45">
      <c r="B32" s="19" t="str">
        <f>IF('Initial_Set-Up'!I27="","",'Initial_Set-Up'!I27)</f>
        <v/>
      </c>
      <c r="C32" s="19" t="b">
        <f>IF('Initial_Set-Up'!J27="","",'Initial_Set-Up'!J27)</f>
        <v>0</v>
      </c>
      <c r="D32" s="19" t="str">
        <f t="shared" si="2"/>
        <v>Want</v>
      </c>
      <c r="E32" s="19">
        <f>Budget!G54</f>
        <v>0</v>
      </c>
      <c r="F32" s="19">
        <f>Budget!H54</f>
        <v>0</v>
      </c>
      <c r="G32" s="19">
        <f>Budget!I54</f>
        <v>0</v>
      </c>
      <c r="H32" s="19">
        <f>Budget!J54</f>
        <v>0</v>
      </c>
      <c r="I32" s="19">
        <f>Budget!K54</f>
        <v>0</v>
      </c>
      <c r="J32" s="19">
        <f>Budget!L54</f>
        <v>0</v>
      </c>
      <c r="K32" s="19">
        <f>Budget!M54</f>
        <v>0</v>
      </c>
      <c r="L32" s="19">
        <f>Budget!N54</f>
        <v>0</v>
      </c>
      <c r="M32" s="19">
        <f>Budget!O54</f>
        <v>0</v>
      </c>
      <c r="N32" s="19">
        <f>Budget!P54</f>
        <v>0</v>
      </c>
      <c r="O32" s="19">
        <f>Budget!Q54</f>
        <v>0</v>
      </c>
      <c r="P32" s="19">
        <f>Budget!R54</f>
        <v>0</v>
      </c>
      <c r="Q32" s="19">
        <f>Budget!S54</f>
        <v>0</v>
      </c>
      <c r="AA32"/>
      <c r="AB32"/>
      <c r="AC32"/>
    </row>
    <row r="33" spans="2:42" x14ac:dyDescent="0.45">
      <c r="B33" s="19" t="str">
        <f>IF('Initial_Set-Up'!I28="","",'Initial_Set-Up'!I28)</f>
        <v/>
      </c>
      <c r="C33" s="19" t="b">
        <f>IF('Initial_Set-Up'!J28="","",'Initial_Set-Up'!J28)</f>
        <v>0</v>
      </c>
      <c r="D33" s="19" t="str">
        <f t="shared" si="2"/>
        <v>Want</v>
      </c>
      <c r="E33" s="19">
        <f>Budget!G55</f>
        <v>0</v>
      </c>
      <c r="F33" s="19">
        <f>Budget!H55</f>
        <v>0</v>
      </c>
      <c r="G33" s="19">
        <f>Budget!I55</f>
        <v>0</v>
      </c>
      <c r="H33" s="19">
        <f>Budget!J55</f>
        <v>0</v>
      </c>
      <c r="I33" s="19">
        <f>Budget!K55</f>
        <v>0</v>
      </c>
      <c r="J33" s="19">
        <f>Budget!L55</f>
        <v>0</v>
      </c>
      <c r="K33" s="19">
        <f>Budget!M55</f>
        <v>0</v>
      </c>
      <c r="L33" s="19">
        <f>Budget!N55</f>
        <v>0</v>
      </c>
      <c r="M33" s="19">
        <f>Budget!O55</f>
        <v>0</v>
      </c>
      <c r="N33" s="19">
        <f>Budget!P55</f>
        <v>0</v>
      </c>
      <c r="O33" s="19">
        <f>Budget!Q55</f>
        <v>0</v>
      </c>
      <c r="P33" s="19">
        <f>Budget!R55</f>
        <v>0</v>
      </c>
      <c r="Q33" s="19">
        <f>Budget!S55</f>
        <v>0</v>
      </c>
      <c r="AA33"/>
      <c r="AB33"/>
      <c r="AC33"/>
    </row>
    <row r="34" spans="2:42" x14ac:dyDescent="0.45">
      <c r="B34" s="19" t="str">
        <f>IF('Initial_Set-Up'!I29="","",'Initial_Set-Up'!I29)</f>
        <v/>
      </c>
      <c r="C34" s="19" t="b">
        <f>IF('Initial_Set-Up'!J29="","",'Initial_Set-Up'!J29)</f>
        <v>0</v>
      </c>
      <c r="D34" s="19" t="str">
        <f t="shared" si="2"/>
        <v>Want</v>
      </c>
      <c r="E34" s="19">
        <f>Budget!G56</f>
        <v>0</v>
      </c>
      <c r="F34" s="19">
        <f>Budget!H56</f>
        <v>0</v>
      </c>
      <c r="G34" s="19">
        <f>Budget!I56</f>
        <v>0</v>
      </c>
      <c r="H34" s="19">
        <f>Budget!J56</f>
        <v>0</v>
      </c>
      <c r="I34" s="19">
        <f>Budget!K56</f>
        <v>0</v>
      </c>
      <c r="J34" s="19">
        <f>Budget!L56</f>
        <v>0</v>
      </c>
      <c r="K34" s="19">
        <f>Budget!M56</f>
        <v>0</v>
      </c>
      <c r="L34" s="19">
        <f>Budget!N56</f>
        <v>0</v>
      </c>
      <c r="M34" s="19">
        <f>Budget!O56</f>
        <v>0</v>
      </c>
      <c r="N34" s="19">
        <f>Budget!P56</f>
        <v>0</v>
      </c>
      <c r="O34" s="19">
        <f>Budget!Q56</f>
        <v>0</v>
      </c>
      <c r="P34" s="19">
        <f>Budget!R56</f>
        <v>0</v>
      </c>
      <c r="Q34" s="19">
        <f>Budget!S56</f>
        <v>0</v>
      </c>
      <c r="AA34"/>
      <c r="AB34"/>
      <c r="AC34"/>
    </row>
    <row r="35" spans="2:42" x14ac:dyDescent="0.45">
      <c r="B35" s="19" t="str">
        <f>IF('Initial_Set-Up'!I30="","",'Initial_Set-Up'!I30)</f>
        <v/>
      </c>
      <c r="C35" s="19" t="b">
        <f>IF('Initial_Set-Up'!J30="","",'Initial_Set-Up'!J30)</f>
        <v>0</v>
      </c>
      <c r="D35" s="19" t="str">
        <f t="shared" si="2"/>
        <v>Want</v>
      </c>
      <c r="E35" s="19">
        <f>Budget!G57</f>
        <v>0</v>
      </c>
      <c r="F35" s="19">
        <f>Budget!H57</f>
        <v>0</v>
      </c>
      <c r="G35" s="19">
        <f>Budget!I57</f>
        <v>0</v>
      </c>
      <c r="H35" s="19">
        <f>Budget!J57</f>
        <v>0</v>
      </c>
      <c r="I35" s="19">
        <f>Budget!K57</f>
        <v>0</v>
      </c>
      <c r="J35" s="19">
        <f>Budget!L57</f>
        <v>0</v>
      </c>
      <c r="K35" s="19">
        <f>Budget!M57</f>
        <v>0</v>
      </c>
      <c r="L35" s="19">
        <f>Budget!N57</f>
        <v>0</v>
      </c>
      <c r="M35" s="19">
        <f>Budget!O57</f>
        <v>0</v>
      </c>
      <c r="N35" s="19">
        <f>Budget!P57</f>
        <v>0</v>
      </c>
      <c r="O35" s="19">
        <f>Budget!Q57</f>
        <v>0</v>
      </c>
      <c r="P35" s="19">
        <f>Budget!R57</f>
        <v>0</v>
      </c>
      <c r="Q35" s="19">
        <f>Budget!S57</f>
        <v>0</v>
      </c>
      <c r="AA35"/>
      <c r="AB35"/>
      <c r="AC35"/>
    </row>
    <row r="36" spans="2:42" x14ac:dyDescent="0.45">
      <c r="B36" s="19" t="str">
        <f>IF('Initial_Set-Up'!I31="","",'Initial_Set-Up'!I31)</f>
        <v/>
      </c>
      <c r="C36" s="19" t="b">
        <f>IF('Initial_Set-Up'!J31="","",'Initial_Set-Up'!J31)</f>
        <v>0</v>
      </c>
      <c r="D36" s="19" t="str">
        <f t="shared" si="2"/>
        <v>Want</v>
      </c>
      <c r="E36" s="19">
        <f>Budget!G58</f>
        <v>0</v>
      </c>
      <c r="F36" s="19">
        <f>Budget!H58</f>
        <v>0</v>
      </c>
      <c r="G36" s="19">
        <f>Budget!I58</f>
        <v>0</v>
      </c>
      <c r="H36" s="19">
        <f>Budget!J58</f>
        <v>0</v>
      </c>
      <c r="I36" s="19">
        <f>Budget!K58</f>
        <v>0</v>
      </c>
      <c r="J36" s="19">
        <f>Budget!L58</f>
        <v>0</v>
      </c>
      <c r="K36" s="19">
        <f>Budget!M58</f>
        <v>0</v>
      </c>
      <c r="L36" s="19">
        <f>Budget!N58</f>
        <v>0</v>
      </c>
      <c r="M36" s="19">
        <f>Budget!O58</f>
        <v>0</v>
      </c>
      <c r="N36" s="19">
        <f>Budget!P58</f>
        <v>0</v>
      </c>
      <c r="O36" s="19">
        <f>Budget!Q58</f>
        <v>0</v>
      </c>
      <c r="P36" s="19">
        <f>Budget!R58</f>
        <v>0</v>
      </c>
      <c r="Q36" s="19">
        <f>Budget!S58</f>
        <v>0</v>
      </c>
      <c r="AA36"/>
      <c r="AB36"/>
      <c r="AC36"/>
    </row>
    <row r="37" spans="2:42" x14ac:dyDescent="0.45">
      <c r="B37" s="19" t="str">
        <f>IF('Initial_Set-Up'!I32="","",'Initial_Set-Up'!I32)</f>
        <v/>
      </c>
      <c r="C37" s="19" t="b">
        <f>IF('Initial_Set-Up'!J32="","",'Initial_Set-Up'!J32)</f>
        <v>0</v>
      </c>
      <c r="D37" s="19" t="str">
        <f t="shared" si="2"/>
        <v>Want</v>
      </c>
      <c r="E37" s="19">
        <f>Budget!G59</f>
        <v>0</v>
      </c>
      <c r="F37" s="19">
        <f>Budget!H59</f>
        <v>0</v>
      </c>
      <c r="G37" s="19">
        <f>Budget!I59</f>
        <v>0</v>
      </c>
      <c r="H37" s="19">
        <f>Budget!J59</f>
        <v>0</v>
      </c>
      <c r="I37" s="19">
        <f>Budget!K59</f>
        <v>0</v>
      </c>
      <c r="J37" s="19">
        <f>Budget!L59</f>
        <v>0</v>
      </c>
      <c r="K37" s="19">
        <f>Budget!M59</f>
        <v>0</v>
      </c>
      <c r="L37" s="19">
        <f>Budget!N59</f>
        <v>0</v>
      </c>
      <c r="M37" s="19">
        <f>Budget!O59</f>
        <v>0</v>
      </c>
      <c r="N37" s="19">
        <f>Budget!P59</f>
        <v>0</v>
      </c>
      <c r="O37" s="19">
        <f>Budget!Q59</f>
        <v>0</v>
      </c>
      <c r="P37" s="19">
        <f>Budget!R59</f>
        <v>0</v>
      </c>
      <c r="Q37" s="19">
        <f>Budget!S59</f>
        <v>0</v>
      </c>
      <c r="AA37"/>
      <c r="AB37"/>
      <c r="AC37"/>
    </row>
    <row r="38" spans="2:42" x14ac:dyDescent="0.45">
      <c r="AA38"/>
      <c r="AB38"/>
      <c r="AC38"/>
      <c r="AO38" s="26" t="str" cm="1">
        <f t="array" ref="AO38:AP40">GETPIVOTDATA("[Measures].[SlicerSelection]",$AA$55)&amp; " " &amp; 'Initial_Set-Up'!S13:T15</f>
        <v>Annual 2025</v>
      </c>
      <c r="AP38" s="26" t="str">
        <v xml:space="preserve">Annual </v>
      </c>
    </row>
    <row r="39" spans="2:42" x14ac:dyDescent="0.45">
      <c r="AA39"/>
      <c r="AB39"/>
      <c r="AC39"/>
      <c r="AO39" s="26" t="str">
        <v xml:space="preserve">Annual </v>
      </c>
      <c r="AP39" s="26" t="str">
        <v xml:space="preserve">Annual </v>
      </c>
    </row>
    <row r="40" spans="2:42" x14ac:dyDescent="0.45">
      <c r="AA40"/>
      <c r="AB40"/>
      <c r="AC40"/>
      <c r="AO40" s="26" t="str">
        <v xml:space="preserve">Annual </v>
      </c>
      <c r="AP40" s="26" t="str">
        <v xml:space="preserve">Annual </v>
      </c>
    </row>
    <row r="41" spans="2:42" x14ac:dyDescent="0.45">
      <c r="B41" s="22" t="s">
        <v>35</v>
      </c>
      <c r="C41" s="22" t="s">
        <v>36</v>
      </c>
      <c r="D41" s="22" t="s">
        <v>37</v>
      </c>
      <c r="E41" s="22" t="s">
        <v>38</v>
      </c>
      <c r="F41" s="22" t="s">
        <v>39</v>
      </c>
      <c r="G41" s="22" t="s">
        <v>40</v>
      </c>
      <c r="H41" s="22" t="s">
        <v>41</v>
      </c>
      <c r="I41" s="22" t="s">
        <v>42</v>
      </c>
      <c r="J41" s="22" t="s">
        <v>43</v>
      </c>
      <c r="K41" s="22" t="s">
        <v>44</v>
      </c>
      <c r="L41" s="22" t="s">
        <v>45</v>
      </c>
      <c r="M41" s="22" t="s">
        <v>46</v>
      </c>
      <c r="N41" s="22" t="s">
        <v>47</v>
      </c>
      <c r="O41" s="22" t="s">
        <v>48</v>
      </c>
      <c r="P41" s="22" t="s">
        <v>49</v>
      </c>
      <c r="Q41" s="22" t="s">
        <v>50</v>
      </c>
      <c r="S41" s="50" t="s">
        <v>33</v>
      </c>
      <c r="T41" s="50" t="s">
        <v>34</v>
      </c>
      <c r="AA41"/>
      <c r="AB41"/>
      <c r="AC41"/>
      <c r="AG41" s="55" t="s">
        <v>91</v>
      </c>
      <c r="AH41" t="s">
        <v>51</v>
      </c>
      <c r="AI41" t="s">
        <v>63</v>
      </c>
    </row>
    <row r="42" spans="2:42" x14ac:dyDescent="0.45">
      <c r="B42" s="22" t="str">
        <f>IF('Initial_Set-Up'!D40="","",'Initial_Set-Up'!D40)</f>
        <v>Student Loan</v>
      </c>
      <c r="C42" s="22" t="b">
        <f>IF('Initial_Set-Up'!E40="","",'Initial_Set-Up'!E40)</f>
        <v>1</v>
      </c>
      <c r="D42" s="22" t="str">
        <f>IF(C42=TRUE, "High Priority", "Low Priority")</f>
        <v>High Priority</v>
      </c>
      <c r="E42" s="22">
        <f>Budget!G72</f>
        <v>80</v>
      </c>
      <c r="F42" s="22">
        <f>Budget!H72</f>
        <v>80</v>
      </c>
      <c r="G42" s="22">
        <f>Budget!I72</f>
        <v>80</v>
      </c>
      <c r="H42" s="22">
        <f>Budget!J72</f>
        <v>80</v>
      </c>
      <c r="I42" s="22">
        <f>Budget!K72</f>
        <v>80</v>
      </c>
      <c r="J42" s="22">
        <f>Budget!L72</f>
        <v>80</v>
      </c>
      <c r="K42" s="22">
        <f>Budget!M72</f>
        <v>80</v>
      </c>
      <c r="L42" s="22">
        <f>Budget!N72</f>
        <v>80</v>
      </c>
      <c r="M42" s="22">
        <f>Budget!O72</f>
        <v>80</v>
      </c>
      <c r="N42" s="22">
        <f>Budget!P72</f>
        <v>80</v>
      </c>
      <c r="O42" s="22">
        <f>Budget!Q72</f>
        <v>80</v>
      </c>
      <c r="P42" s="22">
        <f>Budget!R72</f>
        <v>80</v>
      </c>
      <c r="Q42" s="22">
        <f>IF(Budget!S72="","",Budget!S72)</f>
        <v>960</v>
      </c>
      <c r="S42" s="22" t="s">
        <v>71</v>
      </c>
      <c r="T42" s="22">
        <f>SUMIF(D42:D51, "High Priority", Q42:Q51)</f>
        <v>960</v>
      </c>
      <c r="AA42"/>
      <c r="AB42"/>
      <c r="AC42"/>
      <c r="AG42" s="56" t="s">
        <v>31</v>
      </c>
      <c r="AH42" s="113">
        <v>7320</v>
      </c>
      <c r="AI42" s="113">
        <v>18250</v>
      </c>
      <c r="AK42"/>
      <c r="AL42"/>
    </row>
    <row r="43" spans="2:42" x14ac:dyDescent="0.45">
      <c r="B43" s="22" t="str">
        <f>IF('Initial_Set-Up'!D41="","",'Initial_Set-Up'!D41)</f>
        <v>Credit Card</v>
      </c>
      <c r="C43" s="22" t="b">
        <f>IF('Initial_Set-Up'!E41="","",'Initial_Set-Up'!E41)</f>
        <v>0</v>
      </c>
      <c r="D43" s="22" t="str">
        <f t="shared" ref="D43:D51" si="3">IF(C43=TRUE, "High Priority", "Low Priority")</f>
        <v>Low Priority</v>
      </c>
      <c r="E43" s="22">
        <f>Budget!G73</f>
        <v>15</v>
      </c>
      <c r="F43" s="22">
        <f>Budget!H73</f>
        <v>15</v>
      </c>
      <c r="G43" s="22">
        <f>Budget!I73</f>
        <v>15</v>
      </c>
      <c r="H43" s="22">
        <f>Budget!J73</f>
        <v>15</v>
      </c>
      <c r="I43" s="22">
        <f>Budget!K73</f>
        <v>15</v>
      </c>
      <c r="J43" s="22">
        <f>Budget!L73</f>
        <v>15</v>
      </c>
      <c r="K43" s="22">
        <f>Budget!M73</f>
        <v>15</v>
      </c>
      <c r="L43" s="22">
        <f>Budget!N73</f>
        <v>15</v>
      </c>
      <c r="M43" s="22">
        <f>Budget!O73</f>
        <v>15</v>
      </c>
      <c r="N43" s="22">
        <f>Budget!P73</f>
        <v>15</v>
      </c>
      <c r="O43" s="22">
        <f>Budget!Q73</f>
        <v>15</v>
      </c>
      <c r="P43" s="22">
        <f>Budget!R73</f>
        <v>15</v>
      </c>
      <c r="Q43" s="22">
        <f>IF(Budget!S73="","",Budget!S73)</f>
        <v>180</v>
      </c>
      <c r="S43" s="22" t="s">
        <v>72</v>
      </c>
      <c r="T43" s="22">
        <f>SUMIF(D42:D51, "Low Priority", Q42:Q51)</f>
        <v>180</v>
      </c>
      <c r="AA43"/>
      <c r="AB43"/>
      <c r="AC43"/>
      <c r="AG43" s="56" t="s">
        <v>32</v>
      </c>
      <c r="AH43" s="113">
        <v>2150</v>
      </c>
      <c r="AI43" s="113">
        <v>11640</v>
      </c>
      <c r="AK43"/>
      <c r="AL43"/>
    </row>
    <row r="44" spans="2:42" x14ac:dyDescent="0.45">
      <c r="B44" s="22" t="str">
        <f>IF('Initial_Set-Up'!D42="","",'Initial_Set-Up'!D42)</f>
        <v/>
      </c>
      <c r="C44" s="22" t="b">
        <f>IF('Initial_Set-Up'!E42="","",'Initial_Set-Up'!E42)</f>
        <v>0</v>
      </c>
      <c r="D44" s="22" t="str">
        <f t="shared" si="3"/>
        <v>Low Priority</v>
      </c>
      <c r="E44" s="22">
        <f>Budget!G74</f>
        <v>0</v>
      </c>
      <c r="F44" s="22">
        <f>Budget!H74</f>
        <v>0</v>
      </c>
      <c r="G44" s="22">
        <f>Budget!I74</f>
        <v>0</v>
      </c>
      <c r="H44" s="22">
        <f>Budget!J74</f>
        <v>0</v>
      </c>
      <c r="I44" s="22">
        <f>Budget!K74</f>
        <v>0</v>
      </c>
      <c r="J44" s="22">
        <f>Budget!L74</f>
        <v>0</v>
      </c>
      <c r="K44" s="22">
        <f>Budget!M74</f>
        <v>0</v>
      </c>
      <c r="L44" s="22">
        <f>Budget!N74</f>
        <v>0</v>
      </c>
      <c r="M44" s="22">
        <f>Budget!O74</f>
        <v>0</v>
      </c>
      <c r="N44" s="22">
        <f>Budget!P74</f>
        <v>0</v>
      </c>
      <c r="O44" s="22">
        <f>Budget!Q74</f>
        <v>0</v>
      </c>
      <c r="P44" s="22">
        <f>Budget!R74</f>
        <v>0</v>
      </c>
      <c r="Q44" s="22">
        <f>IF(Budget!S74="","",Budget!S74)</f>
        <v>0</v>
      </c>
      <c r="AA44"/>
      <c r="AB44"/>
      <c r="AC44"/>
      <c r="AG44" s="56" t="s">
        <v>92</v>
      </c>
      <c r="AH44" s="113">
        <v>9470</v>
      </c>
      <c r="AI44" s="113">
        <v>29890</v>
      </c>
      <c r="AK44"/>
      <c r="AL44"/>
    </row>
    <row r="45" spans="2:42" x14ac:dyDescent="0.45">
      <c r="B45" s="22" t="str">
        <f>IF('Initial_Set-Up'!D43="","",'Initial_Set-Up'!D43)</f>
        <v/>
      </c>
      <c r="C45" s="22" t="b">
        <f>IF('Initial_Set-Up'!E43="","",'Initial_Set-Up'!E43)</f>
        <v>0</v>
      </c>
      <c r="D45" s="22" t="str">
        <f t="shared" si="3"/>
        <v>Low Priority</v>
      </c>
      <c r="E45" s="22">
        <f>Budget!G75</f>
        <v>0</v>
      </c>
      <c r="F45" s="22">
        <f>Budget!H75</f>
        <v>0</v>
      </c>
      <c r="G45" s="22">
        <f>Budget!I75</f>
        <v>0</v>
      </c>
      <c r="H45" s="22">
        <f>Budget!J75</f>
        <v>0</v>
      </c>
      <c r="I45" s="22">
        <f>Budget!K75</f>
        <v>0</v>
      </c>
      <c r="J45" s="22">
        <f>Budget!L75</f>
        <v>0</v>
      </c>
      <c r="K45" s="22">
        <f>Budget!M75</f>
        <v>0</v>
      </c>
      <c r="L45" s="22">
        <f>Budget!N75</f>
        <v>0</v>
      </c>
      <c r="M45" s="22">
        <f>Budget!O75</f>
        <v>0</v>
      </c>
      <c r="N45" s="22">
        <f>Budget!P75</f>
        <v>0</v>
      </c>
      <c r="O45" s="22">
        <f>Budget!Q75</f>
        <v>0</v>
      </c>
      <c r="P45" s="22">
        <f>Budget!R75</f>
        <v>0</v>
      </c>
      <c r="Q45" s="22">
        <f>IF(Budget!S75="","",Budget!S75)</f>
        <v>0</v>
      </c>
      <c r="AA45"/>
      <c r="AB45"/>
      <c r="AC45"/>
      <c r="AG45"/>
      <c r="AH45"/>
      <c r="AI45"/>
      <c r="AK45"/>
      <c r="AL45"/>
    </row>
    <row r="46" spans="2:42" x14ac:dyDescent="0.45">
      <c r="B46" s="22" t="str">
        <f>IF('Initial_Set-Up'!D44="","",'Initial_Set-Up'!D44)</f>
        <v/>
      </c>
      <c r="C46" s="22" t="b">
        <f>IF('Initial_Set-Up'!E44="","",'Initial_Set-Up'!E44)</f>
        <v>0</v>
      </c>
      <c r="D46" s="22" t="str">
        <f t="shared" si="3"/>
        <v>Low Priority</v>
      </c>
      <c r="E46" s="22">
        <f>Budget!G76</f>
        <v>0</v>
      </c>
      <c r="F46" s="22">
        <f>Budget!H76</f>
        <v>0</v>
      </c>
      <c r="G46" s="22">
        <f>Budget!I76</f>
        <v>0</v>
      </c>
      <c r="H46" s="22">
        <f>Budget!J76</f>
        <v>0</v>
      </c>
      <c r="I46" s="22">
        <f>Budget!K76</f>
        <v>0</v>
      </c>
      <c r="J46" s="22">
        <f>Budget!L76</f>
        <v>0</v>
      </c>
      <c r="K46" s="22">
        <f>Budget!M76</f>
        <v>0</v>
      </c>
      <c r="L46" s="22">
        <f>Budget!N76</f>
        <v>0</v>
      </c>
      <c r="M46" s="22">
        <f>Budget!O76</f>
        <v>0</v>
      </c>
      <c r="N46" s="22">
        <f>Budget!P76</f>
        <v>0</v>
      </c>
      <c r="O46" s="22">
        <f>Budget!Q76</f>
        <v>0</v>
      </c>
      <c r="P46" s="22">
        <f>Budget!R76</f>
        <v>0</v>
      </c>
      <c r="Q46" s="22">
        <f>IF(Budget!S76="","",Budget!S76)</f>
        <v>0</v>
      </c>
      <c r="AA46"/>
      <c r="AB46"/>
      <c r="AC46"/>
      <c r="AG46"/>
      <c r="AH46"/>
      <c r="AI46"/>
      <c r="AK46"/>
      <c r="AL46"/>
    </row>
    <row r="47" spans="2:42" x14ac:dyDescent="0.45">
      <c r="B47" s="22" t="str">
        <f>IF('Initial_Set-Up'!D45="","",'Initial_Set-Up'!D45)</f>
        <v/>
      </c>
      <c r="C47" s="22" t="b">
        <f>IF('Initial_Set-Up'!E45="","",'Initial_Set-Up'!E45)</f>
        <v>0</v>
      </c>
      <c r="D47" s="22" t="str">
        <f t="shared" si="3"/>
        <v>Low Priority</v>
      </c>
      <c r="E47" s="22">
        <f>Budget!G77</f>
        <v>0</v>
      </c>
      <c r="F47" s="22">
        <f>Budget!H77</f>
        <v>0</v>
      </c>
      <c r="G47" s="22">
        <f>Budget!I77</f>
        <v>0</v>
      </c>
      <c r="H47" s="22">
        <f>Budget!J77</f>
        <v>0</v>
      </c>
      <c r="I47" s="22">
        <f>Budget!K77</f>
        <v>0</v>
      </c>
      <c r="J47" s="22">
        <f>Budget!L77</f>
        <v>0</v>
      </c>
      <c r="K47" s="22">
        <f>Budget!M77</f>
        <v>0</v>
      </c>
      <c r="L47" s="22">
        <f>Budget!N77</f>
        <v>0</v>
      </c>
      <c r="M47" s="22">
        <f>Budget!O77</f>
        <v>0</v>
      </c>
      <c r="N47" s="22">
        <f>Budget!P77</f>
        <v>0</v>
      </c>
      <c r="O47" s="22">
        <f>Budget!Q77</f>
        <v>0</v>
      </c>
      <c r="P47" s="22">
        <f>Budget!R77</f>
        <v>0</v>
      </c>
      <c r="Q47" s="22">
        <f>IF(Budget!S77="","",Budget!S77)</f>
        <v>0</v>
      </c>
      <c r="AA47"/>
      <c r="AB47"/>
      <c r="AC47"/>
      <c r="AG47"/>
      <c r="AH47"/>
      <c r="AI47"/>
      <c r="AK47"/>
      <c r="AL47"/>
    </row>
    <row r="48" spans="2:42" x14ac:dyDescent="0.45">
      <c r="B48" s="22" t="str">
        <f>IF('Initial_Set-Up'!D46="","",'Initial_Set-Up'!D46)</f>
        <v/>
      </c>
      <c r="C48" s="22" t="b">
        <f>IF('Initial_Set-Up'!E46="","",'Initial_Set-Up'!E46)</f>
        <v>0</v>
      </c>
      <c r="D48" s="22" t="str">
        <f t="shared" si="3"/>
        <v>Low Priority</v>
      </c>
      <c r="E48" s="22">
        <f>Budget!G78</f>
        <v>0</v>
      </c>
      <c r="F48" s="22">
        <f>Budget!H78</f>
        <v>0</v>
      </c>
      <c r="G48" s="22">
        <f>Budget!I78</f>
        <v>0</v>
      </c>
      <c r="H48" s="22">
        <f>Budget!J78</f>
        <v>0</v>
      </c>
      <c r="I48" s="22">
        <f>Budget!K78</f>
        <v>0</v>
      </c>
      <c r="J48" s="22">
        <f>Budget!L78</f>
        <v>0</v>
      </c>
      <c r="K48" s="22">
        <f>Budget!M78</f>
        <v>0</v>
      </c>
      <c r="L48" s="22">
        <f>Budget!N78</f>
        <v>0</v>
      </c>
      <c r="M48" s="22">
        <f>Budget!O78</f>
        <v>0</v>
      </c>
      <c r="N48" s="22">
        <f>Budget!P78</f>
        <v>0</v>
      </c>
      <c r="O48" s="22">
        <f>Budget!Q78</f>
        <v>0</v>
      </c>
      <c r="P48" s="22">
        <f>Budget!R78</f>
        <v>0</v>
      </c>
      <c r="Q48" s="22">
        <f>IF(Budget!S78="","",Budget!S78)</f>
        <v>0</v>
      </c>
      <c r="AA48"/>
      <c r="AB48"/>
      <c r="AC48"/>
      <c r="AG48" s="55" t="s">
        <v>91</v>
      </c>
      <c r="AH48" t="s">
        <v>52</v>
      </c>
      <c r="AI48" t="s">
        <v>64</v>
      </c>
      <c r="AJ48"/>
      <c r="AK48"/>
      <c r="AL48"/>
    </row>
    <row r="49" spans="2:41" x14ac:dyDescent="0.45">
      <c r="B49" s="22" t="str">
        <f>IF('Initial_Set-Up'!D47="","",'Initial_Set-Up'!D47)</f>
        <v/>
      </c>
      <c r="C49" s="22" t="b">
        <f>IF('Initial_Set-Up'!E47="","",'Initial_Set-Up'!E47)</f>
        <v>0</v>
      </c>
      <c r="D49" s="22" t="str">
        <f t="shared" si="3"/>
        <v>Low Priority</v>
      </c>
      <c r="E49" s="22">
        <f>Budget!G79</f>
        <v>0</v>
      </c>
      <c r="F49" s="22">
        <f>Budget!H79</f>
        <v>0</v>
      </c>
      <c r="G49" s="22">
        <f>Budget!I79</f>
        <v>0</v>
      </c>
      <c r="H49" s="22">
        <f>Budget!J79</f>
        <v>0</v>
      </c>
      <c r="I49" s="22">
        <f>Budget!K79</f>
        <v>0</v>
      </c>
      <c r="J49" s="22">
        <f>Budget!L79</f>
        <v>0</v>
      </c>
      <c r="K49" s="22">
        <f>Budget!M79</f>
        <v>0</v>
      </c>
      <c r="L49" s="22">
        <f>Budget!N79</f>
        <v>0</v>
      </c>
      <c r="M49" s="22">
        <f>Budget!O79</f>
        <v>0</v>
      </c>
      <c r="N49" s="22">
        <f>Budget!P79</f>
        <v>0</v>
      </c>
      <c r="O49" s="22">
        <f>Budget!Q79</f>
        <v>0</v>
      </c>
      <c r="P49" s="22">
        <f>Budget!R79</f>
        <v>0</v>
      </c>
      <c r="Q49" s="22">
        <f>IF(Budget!S79="","",Budget!S79)</f>
        <v>0</v>
      </c>
      <c r="AA49"/>
      <c r="AB49"/>
      <c r="AC49"/>
      <c r="AG49" s="56" t="s">
        <v>61</v>
      </c>
      <c r="AH49" s="113">
        <v>8328</v>
      </c>
      <c r="AI49" s="113">
        <v>9936</v>
      </c>
      <c r="AJ49"/>
    </row>
    <row r="50" spans="2:41" x14ac:dyDescent="0.45">
      <c r="B50" s="22" t="str">
        <f>IF('Initial_Set-Up'!D48="","",'Initial_Set-Up'!D48)</f>
        <v/>
      </c>
      <c r="C50" s="22" t="b">
        <f>IF('Initial_Set-Up'!E48="","",'Initial_Set-Up'!E48)</f>
        <v>0</v>
      </c>
      <c r="D50" s="22" t="str">
        <f t="shared" si="3"/>
        <v>Low Priority</v>
      </c>
      <c r="E50" s="22">
        <f>Budget!G80</f>
        <v>0</v>
      </c>
      <c r="F50" s="22">
        <f>Budget!H80</f>
        <v>0</v>
      </c>
      <c r="G50" s="22">
        <f>Budget!I80</f>
        <v>0</v>
      </c>
      <c r="H50" s="22">
        <f>Budget!J80</f>
        <v>0</v>
      </c>
      <c r="I50" s="22">
        <f>Budget!K80</f>
        <v>0</v>
      </c>
      <c r="J50" s="22">
        <f>Budget!L80</f>
        <v>0</v>
      </c>
      <c r="K50" s="22">
        <f>Budget!M80</f>
        <v>0</v>
      </c>
      <c r="L50" s="22">
        <f>Budget!N80</f>
        <v>0</v>
      </c>
      <c r="M50" s="22">
        <f>Budget!O80</f>
        <v>0</v>
      </c>
      <c r="N50" s="22">
        <f>Budget!P80</f>
        <v>0</v>
      </c>
      <c r="O50" s="22">
        <f>Budget!Q80</f>
        <v>0</v>
      </c>
      <c r="P50" s="22">
        <f>Budget!R80</f>
        <v>0</v>
      </c>
      <c r="Q50" s="22">
        <f>IF(Budget!S80="","",Budget!S80)</f>
        <v>0</v>
      </c>
      <c r="AA50"/>
      <c r="AB50"/>
      <c r="AC50"/>
      <c r="AG50" s="56" t="s">
        <v>62</v>
      </c>
      <c r="AH50" s="113">
        <v>1037</v>
      </c>
      <c r="AI50" s="113">
        <v>636</v>
      </c>
      <c r="AJ50"/>
      <c r="AO50" s="26" t="str">
        <f>"With " &amp; Name</f>
        <v>With Candy</v>
      </c>
    </row>
    <row r="51" spans="2:41" x14ac:dyDescent="0.45">
      <c r="B51" s="22" t="str">
        <f>IF('Initial_Set-Up'!D49="","",'Initial_Set-Up'!D49)</f>
        <v/>
      </c>
      <c r="C51" s="22" t="b">
        <f>IF('Initial_Set-Up'!E49="","",'Initial_Set-Up'!E49)</f>
        <v>0</v>
      </c>
      <c r="D51" s="22" t="str">
        <f t="shared" si="3"/>
        <v>Low Priority</v>
      </c>
      <c r="E51" s="22">
        <f>Budget!G81</f>
        <v>0</v>
      </c>
      <c r="F51" s="22">
        <f>Budget!H81</f>
        <v>0</v>
      </c>
      <c r="G51" s="22">
        <f>Budget!I81</f>
        <v>0</v>
      </c>
      <c r="H51" s="22">
        <f>Budget!J81</f>
        <v>0</v>
      </c>
      <c r="I51" s="22">
        <f>Budget!K81</f>
        <v>0</v>
      </c>
      <c r="J51" s="22">
        <f>Budget!L81</f>
        <v>0</v>
      </c>
      <c r="K51" s="22">
        <f>Budget!M81</f>
        <v>0</v>
      </c>
      <c r="L51" s="22">
        <f>Budget!N81</f>
        <v>0</v>
      </c>
      <c r="M51" s="22">
        <f>Budget!O81</f>
        <v>0</v>
      </c>
      <c r="N51" s="22">
        <f>Budget!P81</f>
        <v>0</v>
      </c>
      <c r="O51" s="22">
        <f>Budget!Q81</f>
        <v>0</v>
      </c>
      <c r="P51" s="22">
        <f>Budget!R81</f>
        <v>0</v>
      </c>
      <c r="Q51" s="22">
        <f>IF(Budget!S81="","",Budget!S81)</f>
        <v>0</v>
      </c>
      <c r="AG51" s="56" t="s">
        <v>92</v>
      </c>
      <c r="AH51" s="113">
        <v>9365</v>
      </c>
      <c r="AI51" s="113">
        <v>10572</v>
      </c>
      <c r="AJ51"/>
    </row>
    <row r="52" spans="2:41" x14ac:dyDescent="0.45">
      <c r="AG52"/>
      <c r="AH52"/>
      <c r="AI52"/>
      <c r="AJ52"/>
    </row>
    <row r="53" spans="2:41" x14ac:dyDescent="0.45">
      <c r="AG53"/>
      <c r="AH53"/>
      <c r="AI53"/>
      <c r="AJ53"/>
    </row>
    <row r="54" spans="2:41" x14ac:dyDescent="0.45">
      <c r="AG54"/>
      <c r="AH54"/>
      <c r="AI54"/>
      <c r="AJ54"/>
    </row>
    <row r="55" spans="2:41" x14ac:dyDescent="0.45">
      <c r="B55" s="23" t="s">
        <v>35</v>
      </c>
      <c r="C55" s="23" t="s">
        <v>36</v>
      </c>
      <c r="D55" s="23" t="s">
        <v>37</v>
      </c>
      <c r="E55" s="23" t="s">
        <v>38</v>
      </c>
      <c r="F55" s="23" t="s">
        <v>39</v>
      </c>
      <c r="G55" s="23" t="s">
        <v>40</v>
      </c>
      <c r="H55" s="23" t="s">
        <v>41</v>
      </c>
      <c r="I55" s="23" t="s">
        <v>42</v>
      </c>
      <c r="J55" s="23" t="s">
        <v>43</v>
      </c>
      <c r="K55" s="23" t="s">
        <v>44</v>
      </c>
      <c r="L55" s="23" t="s">
        <v>45</v>
      </c>
      <c r="M55" s="23" t="s">
        <v>46</v>
      </c>
      <c r="N55" s="23" t="s">
        <v>47</v>
      </c>
      <c r="O55" s="23" t="s">
        <v>48</v>
      </c>
      <c r="P55" s="23" t="s">
        <v>49</v>
      </c>
      <c r="Q55" s="23" t="s">
        <v>50</v>
      </c>
      <c r="S55" s="50" t="s">
        <v>93</v>
      </c>
      <c r="T55" s="50" t="s">
        <v>34</v>
      </c>
      <c r="AA55" t="s">
        <v>94</v>
      </c>
      <c r="AB55"/>
      <c r="AC55"/>
      <c r="AG55" s="55" t="s">
        <v>91</v>
      </c>
      <c r="AH55" t="s">
        <v>53</v>
      </c>
      <c r="AI55" t="s">
        <v>65</v>
      </c>
    </row>
    <row r="56" spans="2:41" x14ac:dyDescent="0.45">
      <c r="B56" s="23" t="str">
        <f>IF('Initial_Set-Up'!I40="","",'Initial_Set-Up'!I40)</f>
        <v>Emergency Fund</v>
      </c>
      <c r="C56" s="23" t="b">
        <f>IF('Initial_Set-Up'!J40="","",'Initial_Set-Up'!J40)</f>
        <v>1</v>
      </c>
      <c r="D56" s="23" t="str">
        <f>IF(C56=TRUE, "Long Term", "Short Term")</f>
        <v>Long Term</v>
      </c>
      <c r="E56" s="23">
        <f>Budget!G94</f>
        <v>250</v>
      </c>
      <c r="F56" s="23">
        <f>Budget!H94</f>
        <v>250</v>
      </c>
      <c r="G56" s="23">
        <f>Budget!I94</f>
        <v>250</v>
      </c>
      <c r="H56" s="23">
        <f>Budget!J94</f>
        <v>250</v>
      </c>
      <c r="I56" s="23">
        <f>Budget!K94</f>
        <v>250</v>
      </c>
      <c r="J56" s="23">
        <f>Budget!L94</f>
        <v>250</v>
      </c>
      <c r="K56" s="23">
        <f>Budget!M94</f>
        <v>250</v>
      </c>
      <c r="L56" s="23">
        <f>Budget!N94</f>
        <v>250</v>
      </c>
      <c r="M56" s="23">
        <f>Budget!O94</f>
        <v>250</v>
      </c>
      <c r="N56" s="23">
        <f>Budget!P94</f>
        <v>250</v>
      </c>
      <c r="O56" s="23">
        <f>Budget!Q94</f>
        <v>250</v>
      </c>
      <c r="P56" s="23">
        <f>Budget!R94</f>
        <v>250</v>
      </c>
      <c r="Q56" s="24">
        <f>IF(Budget!S94="","",Budget!S94)</f>
        <v>3000</v>
      </c>
      <c r="S56" s="23" t="s">
        <v>95</v>
      </c>
      <c r="T56" s="23">
        <f>SUMIF(D56:D65, "Long Term", Q56:Q65)</f>
        <v>4200</v>
      </c>
      <c r="AA56" s="113" t="s">
        <v>96</v>
      </c>
      <c r="AB56"/>
      <c r="AC56"/>
      <c r="AG56" s="56" t="s">
        <v>71</v>
      </c>
      <c r="AH56" s="113">
        <v>2160</v>
      </c>
      <c r="AI56" s="113">
        <v>960</v>
      </c>
    </row>
    <row r="57" spans="2:41" x14ac:dyDescent="0.45">
      <c r="B57" s="23" t="str">
        <f>IF('Initial_Set-Up'!I41="","",'Initial_Set-Up'!I41)</f>
        <v>Travel Fund</v>
      </c>
      <c r="C57" s="23" t="b">
        <f>IF('Initial_Set-Up'!J41="","",'Initial_Set-Up'!J41)</f>
        <v>0</v>
      </c>
      <c r="D57" s="23" t="str">
        <f t="shared" ref="D57:D65" si="4">IF(C57=TRUE, "Long Term", "Short Term")</f>
        <v>Short Term</v>
      </c>
      <c r="E57" s="23">
        <f>Budget!G95</f>
        <v>20</v>
      </c>
      <c r="F57" s="23">
        <f>Budget!H95</f>
        <v>20</v>
      </c>
      <c r="G57" s="23">
        <f>Budget!I95</f>
        <v>20</v>
      </c>
      <c r="H57" s="23">
        <f>Budget!J95</f>
        <v>20</v>
      </c>
      <c r="I57" s="23">
        <f>Budget!K95</f>
        <v>20</v>
      </c>
      <c r="J57" s="23">
        <f>Budget!L95</f>
        <v>20</v>
      </c>
      <c r="K57" s="23">
        <f>Budget!M95</f>
        <v>20</v>
      </c>
      <c r="L57" s="23">
        <f>Budget!N95</f>
        <v>20</v>
      </c>
      <c r="M57" s="23">
        <f>Budget!O95</f>
        <v>20</v>
      </c>
      <c r="N57" s="23">
        <f>Budget!P95</f>
        <v>20</v>
      </c>
      <c r="O57" s="23">
        <f>Budget!Q95</f>
        <v>20</v>
      </c>
      <c r="P57" s="23">
        <f>Budget!R95</f>
        <v>20</v>
      </c>
      <c r="Q57" s="24">
        <f>IF(Budget!S95="","",Budget!S95)</f>
        <v>240</v>
      </c>
      <c r="S57" s="23" t="s">
        <v>97</v>
      </c>
      <c r="T57" s="23">
        <f>SUMIF(D56:D65, "Short Term", Q56:Q65)</f>
        <v>3840</v>
      </c>
      <c r="AA57"/>
      <c r="AB57"/>
      <c r="AC57"/>
      <c r="AG57" s="56" t="s">
        <v>72</v>
      </c>
      <c r="AH57" s="113">
        <v>80</v>
      </c>
      <c r="AI57" s="113">
        <v>180</v>
      </c>
    </row>
    <row r="58" spans="2:41" x14ac:dyDescent="0.45">
      <c r="B58" s="23" t="str">
        <f>IF('Initial_Set-Up'!I42="","",'Initial_Set-Up'!I42)</f>
        <v>Investing</v>
      </c>
      <c r="C58" s="23" t="b">
        <f>IF('Initial_Set-Up'!J42="","",'Initial_Set-Up'!J42)</f>
        <v>1</v>
      </c>
      <c r="D58" s="23" t="str">
        <f t="shared" si="4"/>
        <v>Long Term</v>
      </c>
      <c r="E58" s="23">
        <f>Budget!G96</f>
        <v>100</v>
      </c>
      <c r="F58" s="23">
        <f>Budget!H96</f>
        <v>100</v>
      </c>
      <c r="G58" s="23">
        <f>Budget!I96</f>
        <v>100</v>
      </c>
      <c r="H58" s="23">
        <f>Budget!J96</f>
        <v>100</v>
      </c>
      <c r="I58" s="23">
        <f>Budget!K96</f>
        <v>100</v>
      </c>
      <c r="J58" s="23">
        <f>Budget!L96</f>
        <v>100</v>
      </c>
      <c r="K58" s="23">
        <f>Budget!M96</f>
        <v>100</v>
      </c>
      <c r="L58" s="23">
        <f>Budget!N96</f>
        <v>100</v>
      </c>
      <c r="M58" s="23">
        <f>Budget!O96</f>
        <v>100</v>
      </c>
      <c r="N58" s="23">
        <f>Budget!P96</f>
        <v>100</v>
      </c>
      <c r="O58" s="23">
        <f>Budget!Q96</f>
        <v>100</v>
      </c>
      <c r="P58" s="23">
        <f>Budget!R96</f>
        <v>100</v>
      </c>
      <c r="Q58" s="24">
        <f>IF(Budget!S96="","",Budget!S96)</f>
        <v>1200</v>
      </c>
      <c r="AA58"/>
      <c r="AB58"/>
      <c r="AC58"/>
      <c r="AG58" s="56" t="s">
        <v>92</v>
      </c>
      <c r="AH58" s="113">
        <v>2240</v>
      </c>
      <c r="AI58" s="113">
        <v>1140</v>
      </c>
    </row>
    <row r="59" spans="2:41" x14ac:dyDescent="0.45">
      <c r="B59" s="23" t="str">
        <f>IF('Initial_Set-Up'!I43="","",'Initial_Set-Up'!I43)</f>
        <v>Tuition</v>
      </c>
      <c r="C59" s="23" t="b">
        <f>IF('Initial_Set-Up'!J43="","",'Initial_Set-Up'!J43)</f>
        <v>0</v>
      </c>
      <c r="D59" s="23" t="str">
        <f t="shared" si="4"/>
        <v>Short Term</v>
      </c>
      <c r="E59" s="23">
        <f>Budget!G97</f>
        <v>300</v>
      </c>
      <c r="F59" s="23">
        <f>Budget!H97</f>
        <v>300</v>
      </c>
      <c r="G59" s="23">
        <f>Budget!I97</f>
        <v>300</v>
      </c>
      <c r="H59" s="23">
        <f>Budget!J97</f>
        <v>300</v>
      </c>
      <c r="I59" s="23">
        <f>Budget!K97</f>
        <v>300</v>
      </c>
      <c r="J59" s="23">
        <f>Budget!L97</f>
        <v>300</v>
      </c>
      <c r="K59" s="23">
        <f>Budget!M97</f>
        <v>300</v>
      </c>
      <c r="L59" s="23">
        <f>Budget!N97</f>
        <v>300</v>
      </c>
      <c r="M59" s="23">
        <f>Budget!O97</f>
        <v>300</v>
      </c>
      <c r="N59" s="23">
        <f>Budget!P97</f>
        <v>300</v>
      </c>
      <c r="O59" s="23">
        <f>Budget!Q97</f>
        <v>300</v>
      </c>
      <c r="P59" s="23">
        <f>Budget!R97</f>
        <v>300</v>
      </c>
      <c r="Q59" s="24">
        <f>IF(Budget!S97="","",Budget!S97)</f>
        <v>3600</v>
      </c>
      <c r="AA59"/>
      <c r="AB59"/>
      <c r="AC59"/>
      <c r="AG59"/>
      <c r="AH59"/>
      <c r="AI59"/>
    </row>
    <row r="60" spans="2:41" x14ac:dyDescent="0.45">
      <c r="B60" s="23" t="str">
        <f>IF('Initial_Set-Up'!I44="","",'Initial_Set-Up'!I44)</f>
        <v/>
      </c>
      <c r="C60" s="23" t="b">
        <f>IF('Initial_Set-Up'!J44="","",'Initial_Set-Up'!J44)</f>
        <v>0</v>
      </c>
      <c r="D60" s="23" t="str">
        <f t="shared" si="4"/>
        <v>Short Term</v>
      </c>
      <c r="E60" s="23">
        <f>Budget!G98</f>
        <v>0</v>
      </c>
      <c r="F60" s="23">
        <f>Budget!H98</f>
        <v>0</v>
      </c>
      <c r="G60" s="23">
        <f>Budget!I98</f>
        <v>0</v>
      </c>
      <c r="H60" s="23">
        <f>Budget!J98</f>
        <v>0</v>
      </c>
      <c r="I60" s="23">
        <f>Budget!K98</f>
        <v>0</v>
      </c>
      <c r="J60" s="23">
        <f>Budget!L98</f>
        <v>0</v>
      </c>
      <c r="K60" s="23">
        <f>Budget!M98</f>
        <v>0</v>
      </c>
      <c r="L60" s="23">
        <f>Budget!N98</f>
        <v>0</v>
      </c>
      <c r="M60" s="23">
        <f>Budget!O98</f>
        <v>0</v>
      </c>
      <c r="N60" s="23">
        <f>Budget!P98</f>
        <v>0</v>
      </c>
      <c r="O60" s="23">
        <f>Budget!Q98</f>
        <v>0</v>
      </c>
      <c r="P60" s="23">
        <f>Budget!R98</f>
        <v>0</v>
      </c>
      <c r="Q60" s="24">
        <f>IF(Budget!S98="","",Budget!S98)</f>
        <v>0</v>
      </c>
      <c r="AA60"/>
      <c r="AB60"/>
      <c r="AC60"/>
      <c r="AG60"/>
      <c r="AH60"/>
      <c r="AI60"/>
    </row>
    <row r="61" spans="2:41" x14ac:dyDescent="0.45">
      <c r="B61" s="23" t="str">
        <f>IF('Initial_Set-Up'!I45="","",'Initial_Set-Up'!I45)</f>
        <v/>
      </c>
      <c r="C61" s="23" t="b">
        <f>IF('Initial_Set-Up'!J45="","",'Initial_Set-Up'!J45)</f>
        <v>0</v>
      </c>
      <c r="D61" s="23" t="str">
        <f t="shared" si="4"/>
        <v>Short Term</v>
      </c>
      <c r="E61" s="23">
        <f>Budget!G99</f>
        <v>0</v>
      </c>
      <c r="F61" s="23">
        <f>Budget!H99</f>
        <v>0</v>
      </c>
      <c r="G61" s="23">
        <f>Budget!I99</f>
        <v>0</v>
      </c>
      <c r="H61" s="23">
        <f>Budget!J99</f>
        <v>0</v>
      </c>
      <c r="I61" s="23">
        <f>Budget!K99</f>
        <v>0</v>
      </c>
      <c r="J61" s="23">
        <f>Budget!L99</f>
        <v>0</v>
      </c>
      <c r="K61" s="23">
        <f>Budget!M99</f>
        <v>0</v>
      </c>
      <c r="L61" s="23">
        <f>Budget!N99</f>
        <v>0</v>
      </c>
      <c r="M61" s="23">
        <f>Budget!O99</f>
        <v>0</v>
      </c>
      <c r="N61" s="23">
        <f>Budget!P99</f>
        <v>0</v>
      </c>
      <c r="O61" s="23">
        <f>Budget!Q99</f>
        <v>0</v>
      </c>
      <c r="P61" s="23">
        <f>Budget!R99</f>
        <v>0</v>
      </c>
      <c r="Q61" s="24">
        <f>IF(Budget!S99="","",Budget!S99)</f>
        <v>0</v>
      </c>
      <c r="AA61"/>
      <c r="AB61"/>
      <c r="AC61"/>
      <c r="AG61"/>
      <c r="AH61"/>
      <c r="AI61"/>
    </row>
    <row r="62" spans="2:41" x14ac:dyDescent="0.45">
      <c r="B62" s="23" t="str">
        <f>IF('Initial_Set-Up'!I46="","",'Initial_Set-Up'!I46)</f>
        <v/>
      </c>
      <c r="C62" s="23" t="b">
        <f>IF('Initial_Set-Up'!J46="","",'Initial_Set-Up'!J46)</f>
        <v>0</v>
      </c>
      <c r="D62" s="23" t="str">
        <f t="shared" si="4"/>
        <v>Short Term</v>
      </c>
      <c r="E62" s="23">
        <f>Budget!G100</f>
        <v>0</v>
      </c>
      <c r="F62" s="23">
        <f>Budget!H100</f>
        <v>0</v>
      </c>
      <c r="G62" s="23">
        <f>Budget!I100</f>
        <v>0</v>
      </c>
      <c r="H62" s="23">
        <f>Budget!J100</f>
        <v>0</v>
      </c>
      <c r="I62" s="23">
        <f>Budget!K100</f>
        <v>0</v>
      </c>
      <c r="J62" s="23">
        <f>Budget!L100</f>
        <v>0</v>
      </c>
      <c r="K62" s="23">
        <f>Budget!M100</f>
        <v>0</v>
      </c>
      <c r="L62" s="23">
        <f>Budget!N100</f>
        <v>0</v>
      </c>
      <c r="M62" s="23">
        <f>Budget!O100</f>
        <v>0</v>
      </c>
      <c r="N62" s="23">
        <f>Budget!P100</f>
        <v>0</v>
      </c>
      <c r="O62" s="23">
        <f>Budget!Q100</f>
        <v>0</v>
      </c>
      <c r="P62" s="23">
        <f>Budget!R100</f>
        <v>0</v>
      </c>
      <c r="Q62" s="24">
        <f>IF(Budget!S100="","",Budget!S100)</f>
        <v>0</v>
      </c>
      <c r="AA62"/>
      <c r="AB62"/>
      <c r="AC62"/>
      <c r="AG62"/>
      <c r="AH62"/>
      <c r="AI62"/>
    </row>
    <row r="63" spans="2:41" x14ac:dyDescent="0.45">
      <c r="B63" s="23" t="str">
        <f>IF('Initial_Set-Up'!I47="","",'Initial_Set-Up'!I47)</f>
        <v/>
      </c>
      <c r="C63" s="23" t="b">
        <f>IF('Initial_Set-Up'!J47="","",'Initial_Set-Up'!J47)</f>
        <v>0</v>
      </c>
      <c r="D63" s="23" t="str">
        <f t="shared" si="4"/>
        <v>Short Term</v>
      </c>
      <c r="E63" s="23">
        <f>Budget!G101</f>
        <v>0</v>
      </c>
      <c r="F63" s="23">
        <f>Budget!H101</f>
        <v>0</v>
      </c>
      <c r="G63" s="23">
        <f>Budget!I101</f>
        <v>0</v>
      </c>
      <c r="H63" s="23">
        <f>Budget!J101</f>
        <v>0</v>
      </c>
      <c r="I63" s="23">
        <f>Budget!K101</f>
        <v>0</v>
      </c>
      <c r="J63" s="23">
        <f>Budget!L101</f>
        <v>0</v>
      </c>
      <c r="K63" s="23">
        <f>Budget!M101</f>
        <v>0</v>
      </c>
      <c r="L63" s="23">
        <f>Budget!N101</f>
        <v>0</v>
      </c>
      <c r="M63" s="23">
        <f>Budget!O101</f>
        <v>0</v>
      </c>
      <c r="N63" s="23">
        <f>Budget!P101</f>
        <v>0</v>
      </c>
      <c r="O63" s="23">
        <f>Budget!Q101</f>
        <v>0</v>
      </c>
      <c r="P63" s="23">
        <f>Budget!R101</f>
        <v>0</v>
      </c>
      <c r="Q63" s="24">
        <f>IF(Budget!S101="","",Budget!S101)</f>
        <v>0</v>
      </c>
      <c r="AA63"/>
      <c r="AB63"/>
      <c r="AC63"/>
      <c r="AG63"/>
      <c r="AH63"/>
      <c r="AI63"/>
    </row>
    <row r="64" spans="2:41" x14ac:dyDescent="0.45">
      <c r="B64" s="23" t="str">
        <f>IF('Initial_Set-Up'!I48="","",'Initial_Set-Up'!I48)</f>
        <v/>
      </c>
      <c r="C64" s="23" t="b">
        <f>IF('Initial_Set-Up'!J48="","",'Initial_Set-Up'!J48)</f>
        <v>0</v>
      </c>
      <c r="D64" s="23" t="str">
        <f t="shared" si="4"/>
        <v>Short Term</v>
      </c>
      <c r="E64" s="23">
        <f>Budget!G102</f>
        <v>0</v>
      </c>
      <c r="F64" s="23">
        <f>Budget!H102</f>
        <v>0</v>
      </c>
      <c r="G64" s="23">
        <f>Budget!I102</f>
        <v>0</v>
      </c>
      <c r="H64" s="23">
        <f>Budget!J102</f>
        <v>0</v>
      </c>
      <c r="I64" s="23">
        <f>Budget!K102</f>
        <v>0</v>
      </c>
      <c r="J64" s="23">
        <f>Budget!L102</f>
        <v>0</v>
      </c>
      <c r="K64" s="23">
        <f>Budget!M102</f>
        <v>0</v>
      </c>
      <c r="L64" s="23">
        <f>Budget!N102</f>
        <v>0</v>
      </c>
      <c r="M64" s="23">
        <f>Budget!O102</f>
        <v>0</v>
      </c>
      <c r="N64" s="23">
        <f>Budget!P102</f>
        <v>0</v>
      </c>
      <c r="O64" s="23">
        <f>Budget!Q102</f>
        <v>0</v>
      </c>
      <c r="P64" s="23">
        <f>Budget!R102</f>
        <v>0</v>
      </c>
      <c r="Q64" s="24">
        <f>IF(Budget!S102="","",Budget!S102)</f>
        <v>0</v>
      </c>
      <c r="AA64"/>
      <c r="AB64"/>
      <c r="AC64"/>
      <c r="AG64"/>
      <c r="AH64"/>
      <c r="AI64"/>
    </row>
    <row r="65" spans="2:35" x14ac:dyDescent="0.45">
      <c r="B65" s="23" t="str">
        <f>IF('Initial_Set-Up'!I49="","",'Initial_Set-Up'!I49)</f>
        <v/>
      </c>
      <c r="C65" s="23" t="b">
        <f>IF('Initial_Set-Up'!J49="","",'Initial_Set-Up'!J49)</f>
        <v>0</v>
      </c>
      <c r="D65" s="23" t="str">
        <f t="shared" si="4"/>
        <v>Short Term</v>
      </c>
      <c r="E65" s="23">
        <f>Budget!G103</f>
        <v>0</v>
      </c>
      <c r="F65" s="23">
        <f>Budget!H103</f>
        <v>0</v>
      </c>
      <c r="G65" s="23">
        <f>Budget!I103</f>
        <v>0</v>
      </c>
      <c r="H65" s="23">
        <f>Budget!J103</f>
        <v>0</v>
      </c>
      <c r="I65" s="23">
        <f>Budget!K103</f>
        <v>0</v>
      </c>
      <c r="J65" s="23">
        <f>Budget!L103</f>
        <v>0</v>
      </c>
      <c r="K65" s="23">
        <f>Budget!M103</f>
        <v>0</v>
      </c>
      <c r="L65" s="23">
        <f>Budget!N103</f>
        <v>0</v>
      </c>
      <c r="M65" s="23">
        <f>Budget!O103</f>
        <v>0</v>
      </c>
      <c r="N65" s="23">
        <f>Budget!P103</f>
        <v>0</v>
      </c>
      <c r="O65" s="23">
        <f>Budget!Q103</f>
        <v>0</v>
      </c>
      <c r="P65" s="23">
        <f>Budget!R103</f>
        <v>0</v>
      </c>
      <c r="Q65" s="24">
        <f>IF(Budget!S103="","",Budget!S103)</f>
        <v>0</v>
      </c>
      <c r="AA65"/>
      <c r="AB65"/>
      <c r="AC65"/>
      <c r="AG65"/>
      <c r="AH65"/>
      <c r="AI65"/>
    </row>
    <row r="66" spans="2:35" x14ac:dyDescent="0.45">
      <c r="AA66"/>
      <c r="AB66"/>
      <c r="AC66"/>
      <c r="AG66"/>
      <c r="AH66"/>
      <c r="AI66"/>
    </row>
    <row r="67" spans="2:35" x14ac:dyDescent="0.45">
      <c r="AA67"/>
      <c r="AB67"/>
      <c r="AC67"/>
      <c r="AG67"/>
      <c r="AH67"/>
      <c r="AI67"/>
    </row>
    <row r="68" spans="2:35" x14ac:dyDescent="0.45">
      <c r="AA68"/>
      <c r="AB68"/>
      <c r="AC68"/>
      <c r="AG68"/>
      <c r="AH68"/>
      <c r="AI68"/>
    </row>
    <row r="69" spans="2:35" x14ac:dyDescent="0.45">
      <c r="B69" s="26" t="s">
        <v>98</v>
      </c>
      <c r="C69" s="26" t="s">
        <v>99</v>
      </c>
      <c r="AA69"/>
      <c r="AB69"/>
      <c r="AC69"/>
      <c r="AG69"/>
      <c r="AH69"/>
      <c r="AI69"/>
    </row>
    <row r="70" spans="2:35" x14ac:dyDescent="0.45">
      <c r="B70" s="57" t="s">
        <v>38</v>
      </c>
      <c r="C70" s="26">
        <v>1</v>
      </c>
      <c r="AA70"/>
      <c r="AB70"/>
      <c r="AC70"/>
      <c r="AG70"/>
      <c r="AH70"/>
      <c r="AI70"/>
    </row>
    <row r="71" spans="2:35" x14ac:dyDescent="0.45">
      <c r="B71" s="57" t="s">
        <v>39</v>
      </c>
      <c r="C71" s="26">
        <v>2</v>
      </c>
      <c r="AA71"/>
      <c r="AB71"/>
      <c r="AC71"/>
      <c r="AG71"/>
      <c r="AH71"/>
      <c r="AI71"/>
    </row>
    <row r="72" spans="2:35" x14ac:dyDescent="0.45">
      <c r="B72" s="57" t="s">
        <v>40</v>
      </c>
      <c r="C72" s="26">
        <v>3</v>
      </c>
      <c r="AA72"/>
      <c r="AB72"/>
      <c r="AC72"/>
      <c r="AG72"/>
      <c r="AH72"/>
      <c r="AI72"/>
    </row>
    <row r="73" spans="2:35" x14ac:dyDescent="0.45">
      <c r="B73" s="57" t="s">
        <v>41</v>
      </c>
      <c r="C73" s="26">
        <v>4</v>
      </c>
    </row>
    <row r="74" spans="2:35" x14ac:dyDescent="0.45">
      <c r="B74" s="57" t="s">
        <v>42</v>
      </c>
      <c r="C74" s="26">
        <v>5</v>
      </c>
    </row>
    <row r="75" spans="2:35" x14ac:dyDescent="0.45">
      <c r="B75" s="57" t="s">
        <v>43</v>
      </c>
      <c r="C75" s="26">
        <v>6</v>
      </c>
    </row>
    <row r="76" spans="2:35" x14ac:dyDescent="0.45">
      <c r="B76" s="57" t="s">
        <v>44</v>
      </c>
      <c r="C76" s="26">
        <v>7</v>
      </c>
    </row>
    <row r="77" spans="2:35" x14ac:dyDescent="0.45">
      <c r="B77" s="57" t="s">
        <v>45</v>
      </c>
      <c r="C77" s="26">
        <v>8</v>
      </c>
    </row>
    <row r="78" spans="2:35" x14ac:dyDescent="0.45">
      <c r="B78" s="57" t="s">
        <v>100</v>
      </c>
      <c r="C78" s="26">
        <v>9</v>
      </c>
    </row>
    <row r="79" spans="2:35" x14ac:dyDescent="0.45">
      <c r="B79" s="57" t="s">
        <v>47</v>
      </c>
      <c r="C79" s="26">
        <v>10</v>
      </c>
    </row>
    <row r="80" spans="2:35" x14ac:dyDescent="0.45">
      <c r="B80" s="57" t="s">
        <v>48</v>
      </c>
      <c r="C80" s="26">
        <v>11</v>
      </c>
    </row>
    <row r="81" spans="2:3" x14ac:dyDescent="0.45">
      <c r="B81" s="57" t="s">
        <v>49</v>
      </c>
      <c r="C81" s="26">
        <v>12</v>
      </c>
    </row>
  </sheetData>
  <sheetProtection selectLockedCells="1" selectUnlockedCells="1"/>
  <conditionalFormatting sqref="AG18:AJ18">
    <cfRule type="expression" dxfId="219" priority="1">
      <formula>Currency="¥"</formula>
    </cfRule>
    <cfRule type="expression" dxfId="218" priority="2">
      <formula>Currency="£"</formula>
    </cfRule>
    <cfRule type="expression" dxfId="217" priority="3">
      <formula>Currency="$"</formula>
    </cfRule>
    <cfRule type="expression" dxfId="216" priority="4">
      <formula>Currency="€"</formula>
    </cfRule>
  </conditionalFormatting>
  <conditionalFormatting sqref="AO3:AP3 AR3:AR4 AG4:AJ4 T4:T5 E4:Q13 AO8:AP8 AR8:AR9 AG9:AJ9 AG15:AJ15 T18:T19 E18:Q37 T42:T43 E42:Q51 T56:T57 E56:Q65">
    <cfRule type="expression" dxfId="215" priority="5">
      <formula>Currency="¥"</formula>
    </cfRule>
    <cfRule type="expression" dxfId="214" priority="6">
      <formula>Currency="£"</formula>
    </cfRule>
    <cfRule type="expression" dxfId="213" priority="7">
      <formula>Currency="$"</formula>
    </cfRule>
    <cfRule type="expression" dxfId="212" priority="8">
      <formula>Currency="€"</formula>
    </cfRule>
  </conditionalFormatting>
  <pageMargins left="0.7" right="0.7" top="0.75" bottom="0.75" header="0.3" footer="0.3"/>
  <tableParts count="5">
    <tablePart r:id="rId9"/>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083D3-3845-4F82-9DF8-BFAA6ECD5D39}">
  <sheetPr codeName="Sheet3">
    <tabColor theme="0" tint="-0.249977111117893"/>
  </sheetPr>
  <dimension ref="D1:AC111"/>
  <sheetViews>
    <sheetView showGridLines="0" showRowColHeaders="0" zoomScale="50" zoomScaleNormal="51" workbookViewId="0">
      <selection activeCell="I24" sqref="I24"/>
    </sheetView>
  </sheetViews>
  <sheetFormatPr defaultColWidth="9" defaultRowHeight="14.25" x14ac:dyDescent="0.45"/>
  <cols>
    <col min="1" max="3" width="9" style="25"/>
    <col min="4" max="4" width="4.59765625" style="25" customWidth="1"/>
    <col min="5" max="5" width="48.3984375" style="25" customWidth="1"/>
    <col min="6" max="6" width="1.73046875" style="25" customWidth="1"/>
    <col min="7" max="19" width="15.59765625" style="25" customWidth="1"/>
    <col min="20" max="20" width="2.73046875" style="25" customWidth="1"/>
    <col min="21" max="21" width="5.73046875" style="25" customWidth="1"/>
    <col min="22" max="23" width="9" style="25"/>
    <col min="24" max="24" width="10.265625" style="25" customWidth="1"/>
    <col min="25" max="26" width="9" style="25"/>
    <col min="27" max="27" width="3.59765625" style="25" customWidth="1"/>
    <col min="28" max="16384" width="9" style="25"/>
  </cols>
  <sheetData>
    <row r="1" spans="4:29" ht="25.15" customHeight="1" x14ac:dyDescent="0.45"/>
    <row r="2" spans="4:29" ht="25.15" customHeight="1" x14ac:dyDescent="0.45"/>
    <row r="3" spans="4:29" ht="25.15" customHeight="1" x14ac:dyDescent="0.45">
      <c r="D3" s="27"/>
      <c r="E3" s="27"/>
      <c r="F3" s="27"/>
      <c r="G3" s="27"/>
      <c r="H3" s="27"/>
      <c r="I3" s="27"/>
      <c r="J3" s="27"/>
      <c r="K3" s="27"/>
      <c r="L3" s="27"/>
      <c r="M3" s="27"/>
      <c r="N3" s="27"/>
      <c r="O3" s="27"/>
      <c r="P3" s="27"/>
      <c r="Q3" s="27"/>
      <c r="R3" s="27"/>
      <c r="S3" s="27"/>
      <c r="T3" s="27"/>
      <c r="V3" s="101" t="s">
        <v>101</v>
      </c>
      <c r="W3" s="101"/>
      <c r="X3" s="93"/>
      <c r="Y3" s="102" t="s">
        <v>102</v>
      </c>
      <c r="Z3" s="102"/>
      <c r="AA3" s="94"/>
      <c r="AB3" s="103" t="s">
        <v>103</v>
      </c>
      <c r="AC3" s="103"/>
    </row>
    <row r="4" spans="4:29" ht="25.15" customHeight="1" x14ac:dyDescent="0.45">
      <c r="D4" s="27"/>
      <c r="E4" s="97" t="s">
        <v>104</v>
      </c>
      <c r="F4" s="97"/>
      <c r="G4" s="27"/>
      <c r="H4" s="27"/>
      <c r="I4" s="27"/>
      <c r="J4" s="27"/>
      <c r="K4" s="27"/>
      <c r="L4" s="27"/>
      <c r="M4" s="27"/>
      <c r="N4" s="27"/>
      <c r="O4" s="27"/>
      <c r="P4" s="27"/>
      <c r="Q4" s="27"/>
      <c r="R4" s="27"/>
      <c r="S4" s="27"/>
      <c r="T4" s="27"/>
      <c r="V4" s="101"/>
      <c r="W4" s="101"/>
      <c r="X4" s="93"/>
      <c r="Y4" s="102"/>
      <c r="Z4" s="102"/>
      <c r="AA4" s="94"/>
      <c r="AB4" s="103"/>
      <c r="AC4" s="103"/>
    </row>
    <row r="5" spans="4:29" ht="25.15" customHeight="1" x14ac:dyDescent="0.55000000000000004">
      <c r="D5" s="27"/>
      <c r="E5" s="97"/>
      <c r="F5" s="97"/>
      <c r="G5" s="28" t="s">
        <v>38</v>
      </c>
      <c r="H5" s="28" t="s">
        <v>39</v>
      </c>
      <c r="I5" s="28" t="s">
        <v>40</v>
      </c>
      <c r="J5" s="28" t="s">
        <v>41</v>
      </c>
      <c r="K5" s="28" t="s">
        <v>42</v>
      </c>
      <c r="L5" s="28" t="s">
        <v>43</v>
      </c>
      <c r="M5" s="28" t="s">
        <v>44</v>
      </c>
      <c r="N5" s="28" t="s">
        <v>45</v>
      </c>
      <c r="O5" s="28" t="s">
        <v>46</v>
      </c>
      <c r="P5" s="28" t="s">
        <v>47</v>
      </c>
      <c r="Q5" s="28" t="s">
        <v>48</v>
      </c>
      <c r="R5" s="28" t="s">
        <v>49</v>
      </c>
      <c r="S5" s="28" t="s">
        <v>105</v>
      </c>
      <c r="T5" s="27"/>
      <c r="V5" s="27"/>
      <c r="W5" s="27"/>
      <c r="X5" s="27"/>
      <c r="Y5" s="27"/>
      <c r="Z5" s="27"/>
      <c r="AA5" s="27"/>
      <c r="AB5" s="27"/>
      <c r="AC5" s="27"/>
    </row>
    <row r="6" spans="4:29" ht="25.15" customHeight="1" thickBot="1" x14ac:dyDescent="0.6">
      <c r="D6" s="27"/>
      <c r="E6" s="27"/>
      <c r="F6" s="27"/>
      <c r="G6" s="29"/>
      <c r="H6" s="29"/>
      <c r="I6" s="29"/>
      <c r="J6" s="29"/>
      <c r="K6" s="29"/>
      <c r="L6" s="29"/>
      <c r="M6" s="29"/>
      <c r="N6" s="29"/>
      <c r="O6" s="29"/>
      <c r="P6" s="29"/>
      <c r="Q6" s="29"/>
      <c r="R6" s="29"/>
      <c r="S6" s="29">
        <f>SUM(G6:R6)</f>
        <v>0</v>
      </c>
      <c r="T6" s="27"/>
      <c r="V6" s="99">
        <f>V7</f>
        <v>0.35369688859150217</v>
      </c>
      <c r="W6" s="99"/>
      <c r="X6" s="27"/>
      <c r="Y6" s="99">
        <f>Y7</f>
        <v>3.8139846102375377E-2</v>
      </c>
      <c r="Z6" s="104"/>
      <c r="AA6" s="27"/>
      <c r="AB6" s="106">
        <f>AB7</f>
        <v>0.26898628303780531</v>
      </c>
      <c r="AC6" s="107"/>
    </row>
    <row r="7" spans="4:29" ht="25.15" customHeight="1" thickTop="1" x14ac:dyDescent="0.55000000000000004">
      <c r="D7" s="27"/>
      <c r="E7" s="98" t="s">
        <v>106</v>
      </c>
      <c r="F7" s="98"/>
      <c r="G7" s="78">
        <f t="shared" ref="G7:S7" si="0">G28-SUM(G60, G82, G104)</f>
        <v>1772</v>
      </c>
      <c r="H7" s="78">
        <f t="shared" si="0"/>
        <v>3219</v>
      </c>
      <c r="I7" s="78">
        <f t="shared" si="0"/>
        <v>1762</v>
      </c>
      <c r="J7" s="78">
        <f t="shared" si="0"/>
        <v>1769</v>
      </c>
      <c r="K7" s="78">
        <f t="shared" si="0"/>
        <v>1777</v>
      </c>
      <c r="L7" s="78">
        <f t="shared" si="0"/>
        <v>-23</v>
      </c>
      <c r="M7" s="78">
        <f t="shared" si="0"/>
        <v>-23</v>
      </c>
      <c r="N7" s="78">
        <f t="shared" si="0"/>
        <v>-23</v>
      </c>
      <c r="O7" s="78">
        <f t="shared" si="0"/>
        <v>-23</v>
      </c>
      <c r="P7" s="78">
        <f t="shared" si="0"/>
        <v>-23</v>
      </c>
      <c r="Q7" s="78">
        <f t="shared" si="0"/>
        <v>-23</v>
      </c>
      <c r="R7" s="78">
        <f t="shared" si="0"/>
        <v>-23</v>
      </c>
      <c r="S7" s="78">
        <f t="shared" si="0"/>
        <v>10138</v>
      </c>
      <c r="T7" s="30"/>
      <c r="V7" s="100">
        <f>(S60/S28)</f>
        <v>0.35369688859150217</v>
      </c>
      <c r="W7" s="100"/>
      <c r="X7" s="73"/>
      <c r="Y7" s="105">
        <f>(S82/S28)</f>
        <v>3.8139846102375377E-2</v>
      </c>
      <c r="Z7" s="105"/>
      <c r="AA7" s="73"/>
      <c r="AB7" s="108">
        <f>S104/S28</f>
        <v>0.26898628303780531</v>
      </c>
      <c r="AC7" s="108"/>
    </row>
    <row r="8" spans="4:29" ht="25.15" customHeight="1" x14ac:dyDescent="0.45">
      <c r="D8" s="27"/>
      <c r="E8" s="27"/>
      <c r="F8" s="27"/>
      <c r="G8" s="27"/>
      <c r="H8" s="27"/>
      <c r="I8" s="27"/>
      <c r="J8" s="27"/>
      <c r="K8" s="27"/>
      <c r="L8" s="27"/>
      <c r="M8" s="27"/>
      <c r="N8" s="27"/>
      <c r="O8" s="27"/>
      <c r="P8" s="27"/>
      <c r="Q8" s="27"/>
      <c r="R8" s="27"/>
      <c r="S8" s="27"/>
      <c r="T8" s="27"/>
      <c r="V8" s="27"/>
      <c r="W8" s="27"/>
      <c r="X8" s="27"/>
      <c r="Y8" s="27"/>
      <c r="Z8" s="27"/>
      <c r="AA8" s="27"/>
      <c r="AB8" s="27"/>
      <c r="AC8" s="27"/>
    </row>
    <row r="9" spans="4:29" ht="25.15" customHeight="1" x14ac:dyDescent="0.45"/>
    <row r="10" spans="4:29" ht="25.15" customHeight="1" x14ac:dyDescent="0.45"/>
    <row r="11" spans="4:29" ht="25.15" customHeight="1" x14ac:dyDescent="0.45"/>
    <row r="12" spans="4:29" ht="25.15" customHeight="1" x14ac:dyDescent="0.45"/>
    <row r="13" spans="4:29" ht="25.15" customHeight="1" x14ac:dyDescent="0.45"/>
    <row r="14" spans="4:29" ht="25.15" customHeight="1" x14ac:dyDescent="0.45"/>
    <row r="15" spans="4:29" ht="25.15" customHeight="1" x14ac:dyDescent="0.45"/>
    <row r="16" spans="4:29" ht="25.15" customHeight="1" x14ac:dyDescent="0.45">
      <c r="D16" s="27" t="s">
        <v>107</v>
      </c>
      <c r="E16" s="27"/>
      <c r="F16" s="27"/>
      <c r="G16" s="27"/>
      <c r="H16" s="27"/>
      <c r="I16" s="27"/>
      <c r="J16" s="27"/>
      <c r="K16" s="27"/>
      <c r="L16" s="27"/>
      <c r="M16" s="27"/>
      <c r="N16" s="27"/>
      <c r="O16" s="27"/>
      <c r="P16" s="27"/>
      <c r="Q16" s="27"/>
      <c r="R16" s="27"/>
      <c r="S16" s="27"/>
      <c r="T16" s="27"/>
      <c r="V16" s="27"/>
      <c r="W16" s="27"/>
      <c r="X16" s="27"/>
      <c r="Y16" s="27"/>
      <c r="Z16" s="27"/>
      <c r="AA16" s="27"/>
      <c r="AB16" s="27"/>
      <c r="AC16" s="27"/>
    </row>
    <row r="17" spans="4:29" ht="25.15" customHeight="1" thickBot="1" x14ac:dyDescent="0.5">
      <c r="D17" s="27"/>
      <c r="E17" s="31" t="s">
        <v>0</v>
      </c>
      <c r="F17" s="32"/>
      <c r="G17" s="37" t="s">
        <v>38</v>
      </c>
      <c r="H17" s="37" t="s">
        <v>39</v>
      </c>
      <c r="I17" s="37" t="s">
        <v>40</v>
      </c>
      <c r="J17" s="37" t="s">
        <v>41</v>
      </c>
      <c r="K17" s="37" t="s">
        <v>42</v>
      </c>
      <c r="L17" s="37" t="s">
        <v>43</v>
      </c>
      <c r="M17" s="37" t="s">
        <v>44</v>
      </c>
      <c r="N17" s="37" t="s">
        <v>45</v>
      </c>
      <c r="O17" s="37" t="s">
        <v>46</v>
      </c>
      <c r="P17" s="37" t="s">
        <v>47</v>
      </c>
      <c r="Q17" s="37" t="s">
        <v>48</v>
      </c>
      <c r="R17" s="37" t="s">
        <v>49</v>
      </c>
      <c r="S17" s="37" t="s">
        <v>105</v>
      </c>
      <c r="T17" s="38"/>
      <c r="V17" s="98" t="s">
        <v>108</v>
      </c>
      <c r="W17" s="98"/>
      <c r="X17" s="98"/>
      <c r="Y17" s="98"/>
      <c r="Z17" s="98" t="s">
        <v>109</v>
      </c>
      <c r="AA17" s="98"/>
      <c r="AB17" s="98"/>
      <c r="AC17" s="98"/>
    </row>
    <row r="18" spans="4:29" ht="25.15" customHeight="1" thickTop="1" x14ac:dyDescent="0.55000000000000004">
      <c r="D18" s="27"/>
      <c r="E18" s="74" t="str">
        <f>IF('Initial_Set-Up'!D13="", "", 'Initial_Set-Up'!D13)</f>
        <v>Student Job</v>
      </c>
      <c r="F18" s="34"/>
      <c r="G18" s="79">
        <v>350</v>
      </c>
      <c r="H18" s="79">
        <v>350</v>
      </c>
      <c r="I18" s="79">
        <v>350</v>
      </c>
      <c r="J18" s="79">
        <v>350</v>
      </c>
      <c r="K18" s="79">
        <v>350</v>
      </c>
      <c r="L18" s="79">
        <v>350</v>
      </c>
      <c r="M18" s="79">
        <v>350</v>
      </c>
      <c r="N18" s="79">
        <v>350</v>
      </c>
      <c r="O18" s="79">
        <v>350</v>
      </c>
      <c r="P18" s="79">
        <v>350</v>
      </c>
      <c r="Q18" s="79">
        <v>350</v>
      </c>
      <c r="R18" s="79">
        <v>350</v>
      </c>
      <c r="S18" s="80">
        <f>SUM(G18:R18)</f>
        <v>4200</v>
      </c>
      <c r="T18" s="39"/>
      <c r="V18" s="27"/>
      <c r="W18" s="27"/>
      <c r="X18" s="27"/>
      <c r="Y18" s="27"/>
      <c r="Z18" s="27"/>
      <c r="AA18" s="27"/>
      <c r="AB18" s="27"/>
      <c r="AC18" s="27"/>
    </row>
    <row r="19" spans="4:29" ht="25.15" customHeight="1" x14ac:dyDescent="0.55000000000000004">
      <c r="D19" s="27"/>
      <c r="E19" s="74" t="str">
        <f>IF('Initial_Set-Up'!D14="", "", 'Initial_Set-Up'!D14)</f>
        <v>Internship</v>
      </c>
      <c r="F19" s="35"/>
      <c r="G19" s="81">
        <v>1000</v>
      </c>
      <c r="H19" s="81">
        <v>1000</v>
      </c>
      <c r="I19" s="81">
        <v>1000</v>
      </c>
      <c r="J19" s="81">
        <v>1000</v>
      </c>
      <c r="K19" s="81">
        <v>1000</v>
      </c>
      <c r="L19" s="81">
        <v>1000</v>
      </c>
      <c r="M19" s="81">
        <v>1000</v>
      </c>
      <c r="N19" s="81">
        <v>1000</v>
      </c>
      <c r="O19" s="81">
        <v>1000</v>
      </c>
      <c r="P19" s="81">
        <v>1000</v>
      </c>
      <c r="Q19" s="81">
        <v>1000</v>
      </c>
      <c r="R19" s="81">
        <v>1000</v>
      </c>
      <c r="S19" s="80">
        <f t="shared" ref="S19:S28" si="1">SUM(G19:R19)</f>
        <v>12000</v>
      </c>
      <c r="T19" s="40"/>
      <c r="V19" s="27"/>
      <c r="W19" s="27"/>
      <c r="X19" s="27"/>
      <c r="Y19" s="27"/>
      <c r="Z19" s="27"/>
      <c r="AA19" s="27"/>
      <c r="AB19" s="27"/>
      <c r="AC19" s="27"/>
    </row>
    <row r="20" spans="4:29" ht="25.15" customHeight="1" x14ac:dyDescent="0.55000000000000004">
      <c r="D20" s="27"/>
      <c r="E20" s="74" t="str">
        <f>IF('Initial_Set-Up'!D15="", "", 'Initial_Set-Up'!D15)</f>
        <v>Family Support</v>
      </c>
      <c r="F20" s="35"/>
      <c r="G20" s="81">
        <v>20</v>
      </c>
      <c r="H20" s="81">
        <v>20</v>
      </c>
      <c r="I20" s="81">
        <v>20</v>
      </c>
      <c r="J20" s="81">
        <v>20</v>
      </c>
      <c r="K20" s="81">
        <v>20</v>
      </c>
      <c r="L20" s="81">
        <v>20</v>
      </c>
      <c r="M20" s="81">
        <v>20</v>
      </c>
      <c r="N20" s="81">
        <v>20</v>
      </c>
      <c r="O20" s="81">
        <v>20</v>
      </c>
      <c r="P20" s="81">
        <v>20</v>
      </c>
      <c r="Q20" s="81">
        <v>20</v>
      </c>
      <c r="R20" s="81">
        <v>20</v>
      </c>
      <c r="S20" s="80">
        <f t="shared" si="1"/>
        <v>240</v>
      </c>
      <c r="T20" s="40"/>
      <c r="V20" s="27"/>
      <c r="W20" s="27"/>
      <c r="X20" s="27"/>
      <c r="Y20" s="27"/>
      <c r="Z20" s="27"/>
      <c r="AA20" s="27"/>
      <c r="AB20" s="27"/>
      <c r="AC20" s="27"/>
    </row>
    <row r="21" spans="4:29" ht="25.15" customHeight="1" x14ac:dyDescent="0.55000000000000004">
      <c r="D21" s="27"/>
      <c r="E21" s="74" t="str">
        <f>IF('Initial_Set-Up'!D16="", "", 'Initial_Set-Up'!D16)</f>
        <v>CAF</v>
      </c>
      <c r="F21" s="35"/>
      <c r="G21" s="81">
        <v>2000</v>
      </c>
      <c r="H21" s="81">
        <v>2000</v>
      </c>
      <c r="I21" s="81">
        <v>2000</v>
      </c>
      <c r="J21" s="81">
        <v>2000</v>
      </c>
      <c r="K21" s="81">
        <v>2000</v>
      </c>
      <c r="L21" s="81">
        <v>200</v>
      </c>
      <c r="M21" s="81">
        <v>200</v>
      </c>
      <c r="N21" s="81">
        <v>200</v>
      </c>
      <c r="O21" s="81">
        <v>200</v>
      </c>
      <c r="P21" s="81">
        <v>200</v>
      </c>
      <c r="Q21" s="81">
        <v>200</v>
      </c>
      <c r="R21" s="81">
        <v>200</v>
      </c>
      <c r="S21" s="80">
        <f t="shared" si="1"/>
        <v>11400</v>
      </c>
      <c r="T21" s="40"/>
      <c r="V21" s="27"/>
      <c r="W21" s="27"/>
      <c r="X21" s="27"/>
      <c r="Y21" s="27"/>
      <c r="Z21" s="27"/>
      <c r="AA21" s="27"/>
      <c r="AB21" s="27"/>
      <c r="AC21" s="27"/>
    </row>
    <row r="22" spans="4:29" ht="25.15" customHeight="1" x14ac:dyDescent="0.55000000000000004">
      <c r="D22" s="27"/>
      <c r="E22" s="74" t="str">
        <f>IF('Initial_Set-Up'!D17="", "", 'Initial_Set-Up'!D17)</f>
        <v>Side Gigs</v>
      </c>
      <c r="F22" s="35"/>
      <c r="G22" s="81">
        <v>50</v>
      </c>
      <c r="H22" s="81">
        <v>1500</v>
      </c>
      <c r="I22" s="81">
        <v>50</v>
      </c>
      <c r="J22" s="81">
        <v>50</v>
      </c>
      <c r="K22" s="81">
        <v>50</v>
      </c>
      <c r="L22" s="81">
        <v>50</v>
      </c>
      <c r="M22" s="81">
        <v>50</v>
      </c>
      <c r="N22" s="81">
        <v>50</v>
      </c>
      <c r="O22" s="81">
        <v>50</v>
      </c>
      <c r="P22" s="81">
        <v>50</v>
      </c>
      <c r="Q22" s="81">
        <v>50</v>
      </c>
      <c r="R22" s="81">
        <v>50</v>
      </c>
      <c r="S22" s="80">
        <f t="shared" si="1"/>
        <v>2050</v>
      </c>
      <c r="T22" s="40"/>
      <c r="V22" s="27"/>
      <c r="W22" s="27"/>
      <c r="X22" s="27"/>
      <c r="Y22" s="27"/>
      <c r="Z22" s="27"/>
      <c r="AA22" s="27"/>
      <c r="AB22" s="27"/>
      <c r="AC22" s="27"/>
    </row>
    <row r="23" spans="4:29" ht="25.15" customHeight="1" x14ac:dyDescent="0.55000000000000004">
      <c r="D23" s="27"/>
      <c r="E23" s="74" t="str">
        <f>IF('Initial_Set-Up'!D18="", "", 'Initial_Set-Up'!D18)</f>
        <v/>
      </c>
      <c r="F23" s="35"/>
      <c r="G23" s="81"/>
      <c r="H23" s="81"/>
      <c r="I23" s="81"/>
      <c r="J23" s="81"/>
      <c r="K23" s="81"/>
      <c r="L23" s="81"/>
      <c r="M23" s="81"/>
      <c r="N23" s="81"/>
      <c r="O23" s="81"/>
      <c r="P23" s="81"/>
      <c r="Q23" s="81"/>
      <c r="R23" s="81"/>
      <c r="S23" s="80">
        <f t="shared" si="1"/>
        <v>0</v>
      </c>
      <c r="T23" s="40"/>
      <c r="V23" s="98" t="s">
        <v>110</v>
      </c>
      <c r="W23" s="98"/>
      <c r="X23" s="98"/>
      <c r="Y23" s="98"/>
      <c r="Z23" s="27"/>
      <c r="AA23" s="27"/>
      <c r="AB23" s="27"/>
      <c r="AC23" s="27"/>
    </row>
    <row r="24" spans="4:29" ht="25.15" customHeight="1" x14ac:dyDescent="0.55000000000000004">
      <c r="D24" s="27"/>
      <c r="E24" s="74" t="str">
        <f>IF('Initial_Set-Up'!D19="", "", 'Initial_Set-Up'!D19)</f>
        <v/>
      </c>
      <c r="F24" s="35"/>
      <c r="G24" s="81"/>
      <c r="H24" s="81"/>
      <c r="I24" s="81"/>
      <c r="J24" s="81"/>
      <c r="K24" s="81"/>
      <c r="L24" s="81"/>
      <c r="M24" s="81"/>
      <c r="N24" s="81"/>
      <c r="O24" s="81"/>
      <c r="P24" s="81"/>
      <c r="Q24" s="81"/>
      <c r="R24" s="81"/>
      <c r="S24" s="80">
        <f t="shared" si="1"/>
        <v>0</v>
      </c>
      <c r="T24" s="40"/>
      <c r="V24" s="27"/>
      <c r="W24" s="27"/>
      <c r="X24" s="27"/>
      <c r="Y24" s="27"/>
      <c r="Z24" s="27"/>
      <c r="AA24" s="27"/>
      <c r="AB24" s="27"/>
      <c r="AC24" s="27"/>
    </row>
    <row r="25" spans="4:29" ht="25.15" customHeight="1" x14ac:dyDescent="0.55000000000000004">
      <c r="D25" s="27"/>
      <c r="E25" s="74" t="str">
        <f>IF('Initial_Set-Up'!D20="", "", 'Initial_Set-Up'!D20)</f>
        <v/>
      </c>
      <c r="F25" s="35"/>
      <c r="G25" s="81"/>
      <c r="H25" s="81"/>
      <c r="I25" s="81"/>
      <c r="J25" s="81"/>
      <c r="K25" s="81"/>
      <c r="L25" s="81"/>
      <c r="M25" s="81"/>
      <c r="N25" s="81"/>
      <c r="O25" s="81"/>
      <c r="P25" s="81"/>
      <c r="Q25" s="81"/>
      <c r="R25" s="81"/>
      <c r="S25" s="80">
        <f t="shared" si="1"/>
        <v>0</v>
      </c>
      <c r="T25" s="40"/>
      <c r="V25" s="27"/>
      <c r="W25" s="27"/>
      <c r="X25" s="27"/>
      <c r="Y25" s="27"/>
      <c r="Z25" s="27"/>
      <c r="AA25" s="27"/>
      <c r="AB25" s="27"/>
      <c r="AC25" s="27"/>
    </row>
    <row r="26" spans="4:29" ht="25.15" customHeight="1" x14ac:dyDescent="0.55000000000000004">
      <c r="D26" s="27"/>
      <c r="E26" s="74" t="str">
        <f>IF('Initial_Set-Up'!D21="", "", 'Initial_Set-Up'!D21)</f>
        <v/>
      </c>
      <c r="F26" s="35"/>
      <c r="G26" s="81"/>
      <c r="H26" s="81"/>
      <c r="I26" s="81"/>
      <c r="J26" s="81"/>
      <c r="K26" s="81"/>
      <c r="L26" s="81"/>
      <c r="M26" s="81"/>
      <c r="N26" s="81"/>
      <c r="O26" s="81"/>
      <c r="P26" s="81"/>
      <c r="Q26" s="81"/>
      <c r="R26" s="81"/>
      <c r="S26" s="80">
        <f t="shared" si="1"/>
        <v>0</v>
      </c>
      <c r="T26" s="40"/>
      <c r="V26" s="27"/>
      <c r="W26" s="27"/>
      <c r="X26" s="27"/>
      <c r="Y26" s="27"/>
      <c r="Z26" s="27"/>
      <c r="AA26" s="27"/>
      <c r="AB26" s="27"/>
      <c r="AC26" s="27"/>
    </row>
    <row r="27" spans="4:29" ht="25.15" customHeight="1" x14ac:dyDescent="0.55000000000000004">
      <c r="D27" s="27"/>
      <c r="E27" s="74" t="str">
        <f>IF('Initial_Set-Up'!D22="", "", 'Initial_Set-Up'!D22)</f>
        <v/>
      </c>
      <c r="F27" s="35"/>
      <c r="G27" s="81"/>
      <c r="H27" s="81"/>
      <c r="I27" s="81"/>
      <c r="J27" s="81"/>
      <c r="K27" s="81"/>
      <c r="L27" s="81"/>
      <c r="M27" s="81"/>
      <c r="N27" s="81"/>
      <c r="O27" s="81"/>
      <c r="P27" s="81"/>
      <c r="Q27" s="81"/>
      <c r="R27" s="81"/>
      <c r="S27" s="80">
        <f t="shared" si="1"/>
        <v>0</v>
      </c>
      <c r="T27" s="40"/>
      <c r="V27" s="27"/>
      <c r="W27" s="27"/>
      <c r="X27" s="27"/>
      <c r="Y27" s="27"/>
      <c r="Z27" s="27"/>
      <c r="AA27" s="27"/>
      <c r="AB27" s="27"/>
      <c r="AC27" s="27"/>
    </row>
    <row r="28" spans="4:29" ht="25.15" customHeight="1" x14ac:dyDescent="0.55000000000000004">
      <c r="D28" s="27"/>
      <c r="E28" s="36" t="s">
        <v>111</v>
      </c>
      <c r="F28" s="36"/>
      <c r="G28" s="82">
        <f>SUM(G18:G27)</f>
        <v>3420</v>
      </c>
      <c r="H28" s="82">
        <f t="shared" ref="H28:R28" si="2">SUM(H18:H27)</f>
        <v>4870</v>
      </c>
      <c r="I28" s="82">
        <f t="shared" si="2"/>
        <v>3420</v>
      </c>
      <c r="J28" s="82">
        <f t="shared" si="2"/>
        <v>3420</v>
      </c>
      <c r="K28" s="82">
        <f t="shared" si="2"/>
        <v>3420</v>
      </c>
      <c r="L28" s="82">
        <f t="shared" si="2"/>
        <v>1620</v>
      </c>
      <c r="M28" s="82">
        <f t="shared" si="2"/>
        <v>1620</v>
      </c>
      <c r="N28" s="82">
        <f t="shared" si="2"/>
        <v>1620</v>
      </c>
      <c r="O28" s="82">
        <f t="shared" si="2"/>
        <v>1620</v>
      </c>
      <c r="P28" s="82">
        <f t="shared" si="2"/>
        <v>1620</v>
      </c>
      <c r="Q28" s="82">
        <f t="shared" si="2"/>
        <v>1620</v>
      </c>
      <c r="R28" s="82">
        <f t="shared" si="2"/>
        <v>1620</v>
      </c>
      <c r="S28" s="83">
        <f t="shared" si="1"/>
        <v>29890</v>
      </c>
      <c r="T28" s="29"/>
      <c r="V28" s="27"/>
      <c r="W28" s="27"/>
      <c r="X28" s="27"/>
      <c r="Y28" s="27"/>
      <c r="Z28" s="27"/>
      <c r="AA28" s="27"/>
      <c r="AB28" s="27"/>
      <c r="AC28" s="27"/>
    </row>
    <row r="29" spans="4:29" ht="25.15" customHeight="1" x14ac:dyDescent="0.55000000000000004">
      <c r="D29" s="27"/>
      <c r="E29" s="27"/>
      <c r="F29" s="27"/>
      <c r="G29" s="29"/>
      <c r="H29" s="29"/>
      <c r="I29" s="29"/>
      <c r="J29" s="29"/>
      <c r="K29" s="29"/>
      <c r="L29" s="29"/>
      <c r="M29" s="29"/>
      <c r="N29" s="29"/>
      <c r="O29" s="29"/>
      <c r="P29" s="29"/>
      <c r="Q29" s="29"/>
      <c r="R29" s="29"/>
      <c r="S29" s="29"/>
      <c r="T29" s="29"/>
      <c r="V29" s="27"/>
      <c r="W29" s="27"/>
      <c r="X29" s="27"/>
      <c r="Y29" s="27"/>
      <c r="Z29" s="27"/>
      <c r="AA29" s="27"/>
      <c r="AB29" s="27"/>
      <c r="AC29" s="27"/>
    </row>
    <row r="30" spans="4:29" ht="25.15" customHeight="1" x14ac:dyDescent="0.45"/>
    <row r="31" spans="4:29" ht="25.15" customHeight="1" x14ac:dyDescent="0.45"/>
    <row r="32" spans="4:29" ht="25.15" customHeight="1" x14ac:dyDescent="0.45"/>
    <row r="33" spans="4:29" ht="25.15" customHeight="1" x14ac:dyDescent="0.45"/>
    <row r="34" spans="4:29" ht="25.15" customHeight="1" x14ac:dyDescent="0.45"/>
    <row r="35" spans="4:29" ht="25.15" customHeight="1" x14ac:dyDescent="0.45"/>
    <row r="36" spans="4:29" ht="25.15" customHeight="1" x14ac:dyDescent="0.45"/>
    <row r="37" spans="4:29" ht="25.15" customHeight="1" x14ac:dyDescent="0.45"/>
    <row r="38" spans="4:29" ht="25.15" customHeight="1" x14ac:dyDescent="0.45">
      <c r="D38" s="27"/>
      <c r="E38" s="27"/>
      <c r="F38" s="27"/>
      <c r="G38" s="27"/>
      <c r="H38" s="27"/>
      <c r="I38" s="27"/>
      <c r="J38" s="27"/>
      <c r="K38" s="27"/>
      <c r="L38" s="27"/>
      <c r="M38" s="27"/>
      <c r="N38" s="27"/>
      <c r="O38" s="27"/>
      <c r="P38" s="27"/>
      <c r="Q38" s="27"/>
      <c r="R38" s="27"/>
      <c r="S38" s="27"/>
      <c r="T38" s="27"/>
      <c r="V38" s="27"/>
      <c r="W38" s="27"/>
      <c r="X38" s="27"/>
      <c r="Y38" s="27"/>
      <c r="Z38" s="98"/>
      <c r="AA38" s="98"/>
      <c r="AB38" s="98"/>
      <c r="AC38" s="98"/>
    </row>
    <row r="39" spans="4:29" ht="25.15" customHeight="1" thickBot="1" x14ac:dyDescent="0.5">
      <c r="D39" s="27"/>
      <c r="E39" s="31" t="s">
        <v>112</v>
      </c>
      <c r="F39" s="32"/>
      <c r="G39" s="42" t="s">
        <v>38</v>
      </c>
      <c r="H39" s="42" t="s">
        <v>39</v>
      </c>
      <c r="I39" s="42" t="s">
        <v>40</v>
      </c>
      <c r="J39" s="42" t="s">
        <v>41</v>
      </c>
      <c r="K39" s="42" t="s">
        <v>42</v>
      </c>
      <c r="L39" s="42" t="s">
        <v>43</v>
      </c>
      <c r="M39" s="42" t="s">
        <v>44</v>
      </c>
      <c r="N39" s="42" t="s">
        <v>45</v>
      </c>
      <c r="O39" s="42" t="s">
        <v>46</v>
      </c>
      <c r="P39" s="42" t="s">
        <v>47</v>
      </c>
      <c r="Q39" s="42" t="s">
        <v>48</v>
      </c>
      <c r="R39" s="42" t="s">
        <v>49</v>
      </c>
      <c r="S39" s="42" t="s">
        <v>105</v>
      </c>
      <c r="T39" s="38"/>
      <c r="V39" s="98" t="s">
        <v>113</v>
      </c>
      <c r="W39" s="98"/>
      <c r="X39" s="98"/>
      <c r="Y39" s="98"/>
      <c r="Z39" s="98" t="s">
        <v>114</v>
      </c>
      <c r="AA39" s="98"/>
      <c r="AB39" s="98"/>
      <c r="AC39" s="98"/>
    </row>
    <row r="40" spans="4:29" ht="25.15" customHeight="1" thickTop="1" x14ac:dyDescent="0.55000000000000004">
      <c r="D40" s="27"/>
      <c r="E40" s="74" t="str">
        <f>IF('Initial_Set-Up'!I13="","", 'Initial_Set-Up'!I13)</f>
        <v>Rent</v>
      </c>
      <c r="F40" s="34"/>
      <c r="G40" s="84">
        <v>500</v>
      </c>
      <c r="H40" s="84">
        <v>500</v>
      </c>
      <c r="I40" s="84">
        <v>500</v>
      </c>
      <c r="J40" s="84">
        <v>500</v>
      </c>
      <c r="K40" s="84">
        <v>500</v>
      </c>
      <c r="L40" s="84">
        <v>500</v>
      </c>
      <c r="M40" s="84">
        <v>500</v>
      </c>
      <c r="N40" s="84">
        <v>500</v>
      </c>
      <c r="O40" s="84">
        <v>500</v>
      </c>
      <c r="P40" s="84">
        <v>500</v>
      </c>
      <c r="Q40" s="84">
        <v>500</v>
      </c>
      <c r="R40" s="84">
        <v>500</v>
      </c>
      <c r="S40" s="80">
        <f>SUM(G40:R40)</f>
        <v>6000</v>
      </c>
      <c r="T40" s="39"/>
      <c r="V40" s="27"/>
      <c r="W40" s="27"/>
      <c r="X40" s="27"/>
      <c r="Y40" s="27"/>
      <c r="Z40" s="27"/>
      <c r="AA40" s="27"/>
      <c r="AB40" s="27"/>
      <c r="AC40" s="27"/>
    </row>
    <row r="41" spans="4:29" ht="25.15" customHeight="1" x14ac:dyDescent="0.55000000000000004">
      <c r="D41" s="27"/>
      <c r="E41" s="74" t="str">
        <f>IF('Initial_Set-Up'!I14="","", 'Initial_Set-Up'!I14)</f>
        <v>Utilities &amp; Internet</v>
      </c>
      <c r="F41" s="33"/>
      <c r="G41" s="85">
        <v>8</v>
      </c>
      <c r="H41" s="85">
        <v>8</v>
      </c>
      <c r="I41" s="85">
        <v>8</v>
      </c>
      <c r="J41" s="85">
        <v>8</v>
      </c>
      <c r="K41" s="85">
        <v>8</v>
      </c>
      <c r="L41" s="85">
        <v>8</v>
      </c>
      <c r="M41" s="85">
        <v>8</v>
      </c>
      <c r="N41" s="85">
        <v>8</v>
      </c>
      <c r="O41" s="85">
        <v>8</v>
      </c>
      <c r="P41" s="85">
        <v>8</v>
      </c>
      <c r="Q41" s="85">
        <v>8</v>
      </c>
      <c r="R41" s="85">
        <v>8</v>
      </c>
      <c r="S41" s="80">
        <f t="shared" ref="S41:S59" si="3">SUM(G41:R41)</f>
        <v>96</v>
      </c>
      <c r="T41" s="40"/>
      <c r="V41" s="27"/>
      <c r="W41" s="27"/>
      <c r="X41" s="27"/>
      <c r="Y41" s="27"/>
      <c r="Z41" s="27"/>
      <c r="AA41" s="27"/>
      <c r="AB41" s="27"/>
      <c r="AC41" s="27"/>
    </row>
    <row r="42" spans="4:29" ht="25.15" customHeight="1" x14ac:dyDescent="0.55000000000000004">
      <c r="D42" s="27"/>
      <c r="E42" s="74" t="str">
        <f>IF('Initial_Set-Up'!I15="","", 'Initial_Set-Up'!I15)</f>
        <v>Groceries</v>
      </c>
      <c r="F42" s="33"/>
      <c r="G42" s="85">
        <v>200</v>
      </c>
      <c r="H42" s="85">
        <v>200</v>
      </c>
      <c r="I42" s="85">
        <v>200</v>
      </c>
      <c r="J42" s="85">
        <v>200</v>
      </c>
      <c r="K42" s="85">
        <v>200</v>
      </c>
      <c r="L42" s="85">
        <v>200</v>
      </c>
      <c r="M42" s="85">
        <v>200</v>
      </c>
      <c r="N42" s="85">
        <v>200</v>
      </c>
      <c r="O42" s="85">
        <v>200</v>
      </c>
      <c r="P42" s="85">
        <v>200</v>
      </c>
      <c r="Q42" s="85">
        <v>200</v>
      </c>
      <c r="R42" s="85">
        <v>200</v>
      </c>
      <c r="S42" s="80">
        <f t="shared" si="3"/>
        <v>2400</v>
      </c>
      <c r="T42" s="40"/>
      <c r="V42" s="27"/>
      <c r="W42" s="27"/>
      <c r="X42" s="27"/>
      <c r="Y42" s="27"/>
      <c r="Z42" s="27"/>
      <c r="AA42" s="27"/>
      <c r="AB42" s="27"/>
      <c r="AC42" s="27"/>
    </row>
    <row r="43" spans="4:29" ht="25.15" customHeight="1" x14ac:dyDescent="0.55000000000000004">
      <c r="D43" s="27"/>
      <c r="E43" s="74" t="str">
        <f>IF('Initial_Set-Up'!I16="","", 'Initial_Set-Up'!I16)</f>
        <v>Transport</v>
      </c>
      <c r="F43" s="33"/>
      <c r="G43" s="85">
        <v>100</v>
      </c>
      <c r="H43" s="85">
        <v>100</v>
      </c>
      <c r="I43" s="85">
        <v>100</v>
      </c>
      <c r="J43" s="85">
        <v>100</v>
      </c>
      <c r="K43" s="85">
        <v>100</v>
      </c>
      <c r="L43" s="85">
        <v>100</v>
      </c>
      <c r="M43" s="85">
        <v>100</v>
      </c>
      <c r="N43" s="85">
        <v>100</v>
      </c>
      <c r="O43" s="85">
        <v>100</v>
      </c>
      <c r="P43" s="85">
        <v>100</v>
      </c>
      <c r="Q43" s="85">
        <v>100</v>
      </c>
      <c r="R43" s="85">
        <v>100</v>
      </c>
      <c r="S43" s="80">
        <f>SUM(G43:R43)</f>
        <v>1200</v>
      </c>
      <c r="T43" s="40"/>
      <c r="V43" s="27"/>
      <c r="W43" s="27"/>
      <c r="X43" s="27"/>
      <c r="Y43" s="27"/>
      <c r="Z43" s="27"/>
      <c r="AA43" s="27"/>
      <c r="AB43" s="27"/>
      <c r="AC43" s="27"/>
    </row>
    <row r="44" spans="4:29" ht="25.15" customHeight="1" x14ac:dyDescent="0.55000000000000004">
      <c r="D44" s="27"/>
      <c r="E44" s="74" t="str">
        <f>IF('Initial_Set-Up'!I17="","", 'Initial_Set-Up'!I17)</f>
        <v>Health &amp; Pharmacy</v>
      </c>
      <c r="F44" s="33"/>
      <c r="G44" s="85">
        <v>20</v>
      </c>
      <c r="H44" s="85">
        <v>20</v>
      </c>
      <c r="I44" s="85">
        <v>20</v>
      </c>
      <c r="J44" s="85">
        <v>20</v>
      </c>
      <c r="K44" s="85">
        <v>20</v>
      </c>
      <c r="L44" s="85">
        <v>20</v>
      </c>
      <c r="M44" s="85">
        <v>20</v>
      </c>
      <c r="N44" s="85">
        <v>20</v>
      </c>
      <c r="O44" s="85">
        <v>20</v>
      </c>
      <c r="P44" s="85">
        <v>20</v>
      </c>
      <c r="Q44" s="85">
        <v>20</v>
      </c>
      <c r="R44" s="85">
        <v>20</v>
      </c>
      <c r="S44" s="80">
        <f t="shared" si="3"/>
        <v>240</v>
      </c>
      <c r="T44" s="40"/>
      <c r="V44" s="27"/>
      <c r="W44" s="27"/>
      <c r="X44" s="27"/>
      <c r="Y44" s="27"/>
      <c r="Z44" s="27"/>
      <c r="AA44" s="27"/>
      <c r="AB44" s="27"/>
      <c r="AC44" s="27"/>
    </row>
    <row r="45" spans="4:29" ht="25.15" customHeight="1" x14ac:dyDescent="0.55000000000000004">
      <c r="D45" s="27"/>
      <c r="E45" s="74" t="str">
        <f>IF('Initial_Set-Up'!I18="","", 'Initial_Set-Up'!I18)</f>
        <v>Eating Out</v>
      </c>
      <c r="F45" s="33"/>
      <c r="G45" s="85">
        <v>10</v>
      </c>
      <c r="H45" s="85">
        <v>10</v>
      </c>
      <c r="I45" s="85">
        <v>10</v>
      </c>
      <c r="J45" s="85">
        <v>10</v>
      </c>
      <c r="K45" s="85">
        <v>10</v>
      </c>
      <c r="L45" s="85">
        <v>10</v>
      </c>
      <c r="M45" s="85">
        <v>10</v>
      </c>
      <c r="N45" s="85">
        <v>10</v>
      </c>
      <c r="O45" s="85">
        <v>10</v>
      </c>
      <c r="P45" s="85">
        <v>10</v>
      </c>
      <c r="Q45" s="85">
        <v>10</v>
      </c>
      <c r="R45" s="85">
        <v>10</v>
      </c>
      <c r="S45" s="80">
        <f t="shared" si="3"/>
        <v>120</v>
      </c>
      <c r="T45" s="40"/>
      <c r="V45" s="98" t="s">
        <v>115</v>
      </c>
      <c r="W45" s="98"/>
      <c r="X45" s="98"/>
      <c r="Y45" s="98"/>
      <c r="Z45" s="27"/>
      <c r="AA45" s="27"/>
      <c r="AB45" s="27"/>
      <c r="AC45" s="27"/>
    </row>
    <row r="46" spans="4:29" ht="25.15" customHeight="1" x14ac:dyDescent="0.55000000000000004">
      <c r="D46" s="27"/>
      <c r="E46" s="74" t="str">
        <f>IF('Initial_Set-Up'!I19="","", 'Initial_Set-Up'!I19)</f>
        <v>Subscriptions</v>
      </c>
      <c r="F46" s="33"/>
      <c r="G46" s="85">
        <v>5</v>
      </c>
      <c r="H46" s="85">
        <v>5</v>
      </c>
      <c r="I46" s="85">
        <v>5</v>
      </c>
      <c r="J46" s="85">
        <v>5</v>
      </c>
      <c r="K46" s="85">
        <v>5</v>
      </c>
      <c r="L46" s="85">
        <v>5</v>
      </c>
      <c r="M46" s="85">
        <v>5</v>
      </c>
      <c r="N46" s="85">
        <v>5</v>
      </c>
      <c r="O46" s="85">
        <v>5</v>
      </c>
      <c r="P46" s="85">
        <v>5</v>
      </c>
      <c r="Q46" s="85">
        <v>5</v>
      </c>
      <c r="R46" s="85">
        <v>5</v>
      </c>
      <c r="S46" s="80">
        <f t="shared" si="3"/>
        <v>60</v>
      </c>
      <c r="T46" s="40"/>
      <c r="V46" s="27"/>
      <c r="W46" s="27"/>
      <c r="X46" s="27"/>
      <c r="Y46" s="27"/>
      <c r="Z46" s="27"/>
      <c r="AA46" s="27"/>
      <c r="AB46" s="27"/>
      <c r="AC46" s="27"/>
    </row>
    <row r="47" spans="4:29" ht="25.15" customHeight="1" x14ac:dyDescent="0.55000000000000004">
      <c r="D47" s="27"/>
      <c r="E47" s="74" t="str">
        <f>IF('Initial_Set-Up'!I20="","", 'Initial_Set-Up'!I20)</f>
        <v>Shopping</v>
      </c>
      <c r="F47" s="33"/>
      <c r="G47" s="85">
        <v>30</v>
      </c>
      <c r="H47" s="85">
        <v>30</v>
      </c>
      <c r="I47" s="85">
        <v>30</v>
      </c>
      <c r="J47" s="85">
        <v>30</v>
      </c>
      <c r="K47" s="85">
        <v>30</v>
      </c>
      <c r="L47" s="85">
        <v>30</v>
      </c>
      <c r="M47" s="85">
        <v>30</v>
      </c>
      <c r="N47" s="85">
        <v>30</v>
      </c>
      <c r="O47" s="85">
        <v>30</v>
      </c>
      <c r="P47" s="85">
        <v>30</v>
      </c>
      <c r="Q47" s="85">
        <v>30</v>
      </c>
      <c r="R47" s="85">
        <v>30</v>
      </c>
      <c r="S47" s="80">
        <f t="shared" si="3"/>
        <v>360</v>
      </c>
      <c r="T47" s="40"/>
      <c r="V47" s="27"/>
      <c r="W47" s="27"/>
      <c r="X47" s="27"/>
      <c r="Y47" s="27"/>
      <c r="Z47" s="27"/>
      <c r="AA47" s="27"/>
      <c r="AB47" s="27"/>
      <c r="AC47" s="27"/>
    </row>
    <row r="48" spans="4:29" ht="25.15" customHeight="1" x14ac:dyDescent="0.55000000000000004">
      <c r="D48" s="27"/>
      <c r="E48" s="74" t="str">
        <f>IF('Initial_Set-Up'!I21="","", 'Initial_Set-Up'!I21)</f>
        <v>Leisure</v>
      </c>
      <c r="F48" s="33"/>
      <c r="G48" s="85">
        <v>5</v>
      </c>
      <c r="H48" s="85">
        <v>5</v>
      </c>
      <c r="I48" s="85">
        <v>5</v>
      </c>
      <c r="J48" s="85">
        <v>5</v>
      </c>
      <c r="K48" s="85">
        <v>5</v>
      </c>
      <c r="L48" s="85">
        <v>5</v>
      </c>
      <c r="M48" s="85">
        <v>5</v>
      </c>
      <c r="N48" s="85">
        <v>5</v>
      </c>
      <c r="O48" s="85">
        <v>5</v>
      </c>
      <c r="P48" s="85">
        <v>5</v>
      </c>
      <c r="Q48" s="85">
        <v>5</v>
      </c>
      <c r="R48" s="85">
        <v>5</v>
      </c>
      <c r="S48" s="80">
        <f t="shared" si="3"/>
        <v>60</v>
      </c>
      <c r="T48" s="40"/>
      <c r="V48" s="27"/>
      <c r="W48" s="27"/>
      <c r="X48" s="27"/>
      <c r="Y48" s="27"/>
      <c r="Z48" s="27"/>
      <c r="AA48" s="27"/>
      <c r="AB48" s="27"/>
      <c r="AC48" s="27"/>
    </row>
    <row r="49" spans="4:29" ht="25.15" customHeight="1" x14ac:dyDescent="0.55000000000000004">
      <c r="D49" s="27"/>
      <c r="E49" s="74" t="str">
        <f>IF('Initial_Set-Up'!I22="","", 'Initial_Set-Up'!I22)</f>
        <v>Gym</v>
      </c>
      <c r="F49" s="33"/>
      <c r="G49" s="85">
        <v>5</v>
      </c>
      <c r="H49" s="85">
        <v>8</v>
      </c>
      <c r="I49" s="85">
        <v>15</v>
      </c>
      <c r="J49" s="85">
        <v>8</v>
      </c>
      <c r="K49" s="85"/>
      <c r="L49" s="85"/>
      <c r="M49" s="85"/>
      <c r="N49" s="85"/>
      <c r="O49" s="85"/>
      <c r="P49" s="85"/>
      <c r="Q49" s="85"/>
      <c r="R49" s="85"/>
      <c r="S49" s="80">
        <f t="shared" si="3"/>
        <v>36</v>
      </c>
      <c r="T49" s="40"/>
      <c r="V49" s="27"/>
      <c r="W49" s="27"/>
      <c r="X49" s="27"/>
      <c r="Y49" s="27"/>
      <c r="Z49" s="27"/>
      <c r="AA49" s="27"/>
      <c r="AB49" s="27"/>
      <c r="AC49" s="27"/>
    </row>
    <row r="50" spans="4:29" ht="25.15" customHeight="1" x14ac:dyDescent="0.55000000000000004">
      <c r="D50" s="27"/>
      <c r="E50" s="74" t="str">
        <f>IF('Initial_Set-Up'!I23="","", 'Initial_Set-Up'!I23)</f>
        <v/>
      </c>
      <c r="F50" s="33"/>
      <c r="G50" s="85"/>
      <c r="H50" s="85"/>
      <c r="I50" s="85"/>
      <c r="J50" s="85"/>
      <c r="K50" s="85"/>
      <c r="L50" s="85"/>
      <c r="M50" s="85"/>
      <c r="N50" s="85"/>
      <c r="O50" s="85"/>
      <c r="P50" s="85"/>
      <c r="Q50" s="85"/>
      <c r="R50" s="85"/>
      <c r="S50" s="80">
        <f t="shared" si="3"/>
        <v>0</v>
      </c>
      <c r="T50" s="40"/>
      <c r="V50" s="27"/>
      <c r="W50" s="27"/>
      <c r="X50" s="27"/>
      <c r="Y50" s="27"/>
      <c r="Z50" s="27"/>
      <c r="AA50" s="27"/>
      <c r="AB50" s="27"/>
      <c r="AC50" s="27"/>
    </row>
    <row r="51" spans="4:29" ht="25.15" customHeight="1" x14ac:dyDescent="0.55000000000000004">
      <c r="D51" s="27"/>
      <c r="E51" s="74" t="str">
        <f>IF('Initial_Set-Up'!I24="","", 'Initial_Set-Up'!I24)</f>
        <v/>
      </c>
      <c r="F51" s="33"/>
      <c r="G51" s="85"/>
      <c r="H51" s="85"/>
      <c r="I51" s="85"/>
      <c r="J51" s="85"/>
      <c r="K51" s="85"/>
      <c r="L51" s="85"/>
      <c r="M51" s="85"/>
      <c r="N51" s="85"/>
      <c r="O51" s="85"/>
      <c r="P51" s="85"/>
      <c r="Q51" s="85"/>
      <c r="R51" s="85"/>
      <c r="S51" s="80">
        <f t="shared" si="3"/>
        <v>0</v>
      </c>
      <c r="T51" s="40"/>
      <c r="V51" s="27"/>
      <c r="W51" s="27"/>
      <c r="X51" s="27"/>
      <c r="Y51" s="27"/>
      <c r="Z51" s="27"/>
      <c r="AA51" s="27"/>
      <c r="AB51" s="27"/>
      <c r="AC51" s="27"/>
    </row>
    <row r="52" spans="4:29" ht="25.15" customHeight="1" x14ac:dyDescent="0.55000000000000004">
      <c r="D52" s="27"/>
      <c r="E52" s="74" t="str">
        <f>IF('Initial_Set-Up'!I25="","", 'Initial_Set-Up'!I25)</f>
        <v/>
      </c>
      <c r="F52" s="33"/>
      <c r="G52" s="85"/>
      <c r="H52" s="85"/>
      <c r="I52" s="85"/>
      <c r="J52" s="85"/>
      <c r="K52" s="85"/>
      <c r="L52" s="85"/>
      <c r="M52" s="85"/>
      <c r="N52" s="85"/>
      <c r="O52" s="85"/>
      <c r="P52" s="85"/>
      <c r="Q52" s="85"/>
      <c r="R52" s="85"/>
      <c r="S52" s="80">
        <f t="shared" si="3"/>
        <v>0</v>
      </c>
      <c r="T52" s="40"/>
      <c r="V52" s="27"/>
      <c r="W52" s="27"/>
      <c r="X52" s="27"/>
      <c r="Y52" s="27"/>
      <c r="Z52" s="27"/>
      <c r="AA52" s="27"/>
      <c r="AB52" s="27"/>
      <c r="AC52" s="27"/>
    </row>
    <row r="53" spans="4:29" ht="25.15" customHeight="1" x14ac:dyDescent="0.55000000000000004">
      <c r="D53" s="27"/>
      <c r="E53" s="74" t="str">
        <f>IF('Initial_Set-Up'!I26="","", 'Initial_Set-Up'!I26)</f>
        <v/>
      </c>
      <c r="F53" s="33"/>
      <c r="G53" s="85"/>
      <c r="H53" s="85"/>
      <c r="I53" s="85"/>
      <c r="J53" s="85"/>
      <c r="K53" s="85"/>
      <c r="L53" s="85"/>
      <c r="M53" s="85"/>
      <c r="N53" s="85"/>
      <c r="O53" s="85"/>
      <c r="P53" s="85"/>
      <c r="Q53" s="85"/>
      <c r="R53" s="85"/>
      <c r="S53" s="80">
        <f t="shared" si="3"/>
        <v>0</v>
      </c>
      <c r="T53" s="40"/>
      <c r="V53" s="27"/>
      <c r="W53" s="27"/>
      <c r="X53" s="27"/>
      <c r="Y53" s="27"/>
      <c r="Z53" s="27"/>
      <c r="AA53" s="27"/>
      <c r="AB53" s="27"/>
      <c r="AC53" s="27"/>
    </row>
    <row r="54" spans="4:29" ht="25.15" customHeight="1" x14ac:dyDescent="0.55000000000000004">
      <c r="D54" s="27"/>
      <c r="E54" s="74" t="str">
        <f>IF('Initial_Set-Up'!I27="","", 'Initial_Set-Up'!I27)</f>
        <v/>
      </c>
      <c r="F54" s="33"/>
      <c r="G54" s="85"/>
      <c r="H54" s="85"/>
      <c r="I54" s="85"/>
      <c r="J54" s="85"/>
      <c r="K54" s="85"/>
      <c r="L54" s="85"/>
      <c r="M54" s="85"/>
      <c r="N54" s="85"/>
      <c r="O54" s="85"/>
      <c r="P54" s="85"/>
      <c r="Q54" s="85"/>
      <c r="R54" s="85"/>
      <c r="S54" s="80">
        <f t="shared" si="3"/>
        <v>0</v>
      </c>
      <c r="T54" s="40"/>
      <c r="V54" s="27"/>
      <c r="W54" s="27"/>
      <c r="X54" s="27"/>
      <c r="Y54" s="27"/>
      <c r="Z54" s="27"/>
      <c r="AA54" s="27"/>
      <c r="AB54" s="27"/>
      <c r="AC54" s="27"/>
    </row>
    <row r="55" spans="4:29" ht="25.15" customHeight="1" x14ac:dyDescent="0.55000000000000004">
      <c r="D55" s="27"/>
      <c r="E55" s="74" t="str">
        <f>IF('Initial_Set-Up'!I28="","", 'Initial_Set-Up'!I28)</f>
        <v/>
      </c>
      <c r="F55" s="33"/>
      <c r="G55" s="85"/>
      <c r="H55" s="85"/>
      <c r="I55" s="85"/>
      <c r="J55" s="85"/>
      <c r="K55" s="85"/>
      <c r="L55" s="85"/>
      <c r="M55" s="85"/>
      <c r="N55" s="85"/>
      <c r="O55" s="85"/>
      <c r="P55" s="85"/>
      <c r="Q55" s="85"/>
      <c r="R55" s="85"/>
      <c r="S55" s="80">
        <f t="shared" si="3"/>
        <v>0</v>
      </c>
      <c r="T55" s="40"/>
      <c r="V55" s="27"/>
      <c r="W55" s="27"/>
      <c r="X55" s="27"/>
      <c r="Y55" s="27"/>
      <c r="Z55" s="27"/>
      <c r="AA55" s="27"/>
      <c r="AB55" s="27"/>
      <c r="AC55" s="27"/>
    </row>
    <row r="56" spans="4:29" ht="25.15" customHeight="1" x14ac:dyDescent="0.55000000000000004">
      <c r="D56" s="27"/>
      <c r="E56" s="74" t="str">
        <f>IF('Initial_Set-Up'!I29="","", 'Initial_Set-Up'!I29)</f>
        <v/>
      </c>
      <c r="F56" s="33"/>
      <c r="G56" s="85"/>
      <c r="H56" s="85"/>
      <c r="I56" s="85"/>
      <c r="J56" s="85"/>
      <c r="K56" s="85"/>
      <c r="L56" s="85"/>
      <c r="M56" s="85"/>
      <c r="N56" s="85"/>
      <c r="O56" s="85"/>
      <c r="P56" s="85"/>
      <c r="Q56" s="85"/>
      <c r="R56" s="85"/>
      <c r="S56" s="80">
        <f t="shared" si="3"/>
        <v>0</v>
      </c>
      <c r="T56" s="40"/>
      <c r="V56" s="27"/>
      <c r="W56" s="27"/>
      <c r="X56" s="27"/>
      <c r="Y56" s="27"/>
      <c r="Z56" s="27"/>
      <c r="AA56" s="27"/>
      <c r="AB56" s="27"/>
      <c r="AC56" s="27"/>
    </row>
    <row r="57" spans="4:29" ht="25.15" customHeight="1" x14ac:dyDescent="0.55000000000000004">
      <c r="D57" s="27"/>
      <c r="E57" s="74" t="str">
        <f>IF('Initial_Set-Up'!I30="","", 'Initial_Set-Up'!I30)</f>
        <v/>
      </c>
      <c r="F57" s="33"/>
      <c r="G57" s="85"/>
      <c r="H57" s="85"/>
      <c r="I57" s="85"/>
      <c r="J57" s="85"/>
      <c r="K57" s="85"/>
      <c r="L57" s="85"/>
      <c r="M57" s="85"/>
      <c r="N57" s="85"/>
      <c r="O57" s="85"/>
      <c r="P57" s="85"/>
      <c r="Q57" s="85"/>
      <c r="R57" s="85"/>
      <c r="S57" s="80">
        <f t="shared" si="3"/>
        <v>0</v>
      </c>
      <c r="T57" s="40"/>
      <c r="V57" s="27"/>
      <c r="W57" s="27"/>
      <c r="X57" s="27"/>
      <c r="Y57" s="27"/>
      <c r="Z57" s="27"/>
      <c r="AA57" s="27"/>
      <c r="AB57" s="27"/>
      <c r="AC57" s="27"/>
    </row>
    <row r="58" spans="4:29" ht="25.15" customHeight="1" x14ac:dyDescent="0.55000000000000004">
      <c r="D58" s="27"/>
      <c r="E58" s="74" t="str">
        <f>IF('Initial_Set-Up'!I31="","", 'Initial_Set-Up'!I31)</f>
        <v/>
      </c>
      <c r="F58" s="33"/>
      <c r="G58" s="85"/>
      <c r="H58" s="85"/>
      <c r="I58" s="85"/>
      <c r="J58" s="85"/>
      <c r="K58" s="85"/>
      <c r="L58" s="85"/>
      <c r="M58" s="85"/>
      <c r="N58" s="85"/>
      <c r="O58" s="85"/>
      <c r="P58" s="85"/>
      <c r="Q58" s="85"/>
      <c r="R58" s="85"/>
      <c r="S58" s="80">
        <f t="shared" si="3"/>
        <v>0</v>
      </c>
      <c r="T58" s="40"/>
      <c r="V58" s="27"/>
      <c r="W58" s="27"/>
      <c r="X58" s="27"/>
      <c r="Y58" s="27"/>
      <c r="Z58" s="27"/>
      <c r="AA58" s="27"/>
      <c r="AB58" s="27"/>
      <c r="AC58" s="27"/>
    </row>
    <row r="59" spans="4:29" ht="25.15" customHeight="1" x14ac:dyDescent="0.55000000000000004">
      <c r="D59" s="27"/>
      <c r="E59" s="74" t="str">
        <f>IF('Initial_Set-Up'!I32="","", 'Initial_Set-Up'!I32)</f>
        <v/>
      </c>
      <c r="F59" s="33"/>
      <c r="G59" s="85"/>
      <c r="H59" s="85"/>
      <c r="I59" s="85"/>
      <c r="J59" s="85"/>
      <c r="K59" s="85"/>
      <c r="L59" s="85"/>
      <c r="M59" s="85"/>
      <c r="N59" s="85"/>
      <c r="O59" s="85"/>
      <c r="P59" s="85"/>
      <c r="Q59" s="85"/>
      <c r="R59" s="85"/>
      <c r="S59" s="80">
        <f t="shared" si="3"/>
        <v>0</v>
      </c>
      <c r="T59" s="40"/>
      <c r="V59" s="27"/>
      <c r="W59" s="27"/>
      <c r="X59" s="27"/>
      <c r="Y59" s="27"/>
      <c r="Z59" s="27"/>
      <c r="AA59" s="27"/>
      <c r="AB59" s="27"/>
      <c r="AC59" s="27"/>
    </row>
    <row r="60" spans="4:29" ht="25.15" customHeight="1" x14ac:dyDescent="0.55000000000000004">
      <c r="D60" s="27"/>
      <c r="E60" s="41" t="s">
        <v>116</v>
      </c>
      <c r="F60" s="41"/>
      <c r="G60" s="82">
        <f t="shared" ref="G60:R60" si="4">SUM(G40:G59)</f>
        <v>883</v>
      </c>
      <c r="H60" s="82">
        <f t="shared" si="4"/>
        <v>886</v>
      </c>
      <c r="I60" s="82">
        <f t="shared" si="4"/>
        <v>893</v>
      </c>
      <c r="J60" s="82">
        <f t="shared" si="4"/>
        <v>886</v>
      </c>
      <c r="K60" s="82">
        <f t="shared" si="4"/>
        <v>878</v>
      </c>
      <c r="L60" s="82">
        <f t="shared" si="4"/>
        <v>878</v>
      </c>
      <c r="M60" s="82">
        <f t="shared" si="4"/>
        <v>878</v>
      </c>
      <c r="N60" s="82">
        <f t="shared" si="4"/>
        <v>878</v>
      </c>
      <c r="O60" s="82">
        <f t="shared" si="4"/>
        <v>878</v>
      </c>
      <c r="P60" s="82">
        <f t="shared" si="4"/>
        <v>878</v>
      </c>
      <c r="Q60" s="82">
        <f t="shared" si="4"/>
        <v>878</v>
      </c>
      <c r="R60" s="82">
        <f t="shared" si="4"/>
        <v>878</v>
      </c>
      <c r="S60" s="83">
        <f>SUM(G60:R60)</f>
        <v>10572</v>
      </c>
      <c r="T60" s="29"/>
      <c r="V60" s="27"/>
      <c r="W60" s="27"/>
      <c r="X60" s="27"/>
      <c r="Y60" s="27"/>
      <c r="Z60" s="27"/>
      <c r="AA60" s="27"/>
      <c r="AB60" s="27"/>
      <c r="AC60" s="27"/>
    </row>
    <row r="61" spans="4:29" ht="25.15" customHeight="1" x14ac:dyDescent="0.55000000000000004">
      <c r="D61" s="27"/>
      <c r="E61" s="27"/>
      <c r="F61" s="27"/>
      <c r="G61" s="29"/>
      <c r="H61" s="29"/>
      <c r="I61" s="29"/>
      <c r="J61" s="29"/>
      <c r="K61" s="29"/>
      <c r="L61" s="29"/>
      <c r="M61" s="29"/>
      <c r="N61" s="29"/>
      <c r="O61" s="29"/>
      <c r="P61" s="29"/>
      <c r="Q61" s="29"/>
      <c r="R61" s="29"/>
      <c r="S61" s="29"/>
      <c r="T61" s="29"/>
      <c r="V61" s="27"/>
      <c r="W61" s="27"/>
      <c r="X61" s="27"/>
      <c r="Y61" s="27"/>
      <c r="Z61" s="27"/>
      <c r="AA61" s="27"/>
      <c r="AB61" s="27"/>
      <c r="AC61" s="27"/>
    </row>
    <row r="62" spans="4:29" ht="25.15" customHeight="1" x14ac:dyDescent="0.45"/>
    <row r="63" spans="4:29" ht="25.15" customHeight="1" x14ac:dyDescent="0.45"/>
    <row r="64" spans="4:29" ht="25.15" customHeight="1" x14ac:dyDescent="0.45"/>
    <row r="65" spans="4:29" ht="25.15" customHeight="1" x14ac:dyDescent="0.45"/>
    <row r="66" spans="4:29" ht="25.15" customHeight="1" x14ac:dyDescent="0.45"/>
    <row r="67" spans="4:29" ht="25.15" customHeight="1" x14ac:dyDescent="0.45"/>
    <row r="68" spans="4:29" ht="25.15" customHeight="1" x14ac:dyDescent="0.45"/>
    <row r="69" spans="4:29" ht="25.15" customHeight="1" x14ac:dyDescent="0.45"/>
    <row r="70" spans="4:29" ht="25.15" customHeight="1" x14ac:dyDescent="0.45">
      <c r="D70" s="27"/>
      <c r="E70" s="27"/>
      <c r="F70" s="27"/>
      <c r="G70" s="27"/>
      <c r="H70" s="27"/>
      <c r="I70" s="27"/>
      <c r="J70" s="27"/>
      <c r="K70" s="27"/>
      <c r="L70" s="27"/>
      <c r="M70" s="27"/>
      <c r="N70" s="27"/>
      <c r="O70" s="27"/>
      <c r="P70" s="27"/>
      <c r="Q70" s="27"/>
      <c r="R70" s="27"/>
      <c r="S70" s="27"/>
      <c r="T70" s="27"/>
      <c r="V70" s="27"/>
      <c r="W70" s="27"/>
      <c r="X70" s="27"/>
      <c r="Y70" s="27"/>
      <c r="Z70" s="27"/>
      <c r="AA70" s="27"/>
      <c r="AB70" s="27"/>
      <c r="AC70" s="27"/>
    </row>
    <row r="71" spans="4:29" ht="25.15" customHeight="1" thickBot="1" x14ac:dyDescent="0.5">
      <c r="D71" s="27"/>
      <c r="E71" s="31" t="s">
        <v>21</v>
      </c>
      <c r="F71" s="32"/>
      <c r="G71" s="42" t="s">
        <v>38</v>
      </c>
      <c r="H71" s="42" t="s">
        <v>39</v>
      </c>
      <c r="I71" s="42" t="s">
        <v>40</v>
      </c>
      <c r="J71" s="42" t="s">
        <v>41</v>
      </c>
      <c r="K71" s="42" t="s">
        <v>42</v>
      </c>
      <c r="L71" s="42" t="s">
        <v>43</v>
      </c>
      <c r="M71" s="42" t="s">
        <v>44</v>
      </c>
      <c r="N71" s="42" t="s">
        <v>45</v>
      </c>
      <c r="O71" s="42" t="s">
        <v>46</v>
      </c>
      <c r="P71" s="42" t="s">
        <v>47</v>
      </c>
      <c r="Q71" s="42" t="s">
        <v>48</v>
      </c>
      <c r="R71" s="42" t="s">
        <v>49</v>
      </c>
      <c r="S71" s="42" t="s">
        <v>105</v>
      </c>
      <c r="T71" s="38"/>
      <c r="V71" s="98" t="s">
        <v>117</v>
      </c>
      <c r="W71" s="98"/>
      <c r="X71" s="98"/>
      <c r="Y71" s="98"/>
      <c r="Z71" s="98" t="s">
        <v>118</v>
      </c>
      <c r="AA71" s="98"/>
      <c r="AB71" s="98"/>
      <c r="AC71" s="98"/>
    </row>
    <row r="72" spans="4:29" ht="25.15" customHeight="1" thickTop="1" x14ac:dyDescent="0.55000000000000004">
      <c r="D72" s="27"/>
      <c r="E72" s="74" t="str">
        <f>IF('Initial_Set-Up'!D40="", "", 'Initial_Set-Up'!D40)</f>
        <v>Student Loan</v>
      </c>
      <c r="F72" s="34"/>
      <c r="G72" s="86">
        <v>80</v>
      </c>
      <c r="H72" s="86">
        <v>80</v>
      </c>
      <c r="I72" s="86">
        <v>80</v>
      </c>
      <c r="J72" s="86">
        <v>80</v>
      </c>
      <c r="K72" s="86">
        <v>80</v>
      </c>
      <c r="L72" s="86">
        <v>80</v>
      </c>
      <c r="M72" s="86">
        <v>80</v>
      </c>
      <c r="N72" s="86">
        <v>80</v>
      </c>
      <c r="O72" s="86">
        <v>80</v>
      </c>
      <c r="P72" s="86">
        <v>80</v>
      </c>
      <c r="Q72" s="86">
        <v>80</v>
      </c>
      <c r="R72" s="86">
        <v>80</v>
      </c>
      <c r="S72" s="80">
        <f>SUM(G72:R72)</f>
        <v>960</v>
      </c>
      <c r="T72" s="39"/>
      <c r="V72" s="27"/>
      <c r="W72" s="27"/>
      <c r="X72" s="27"/>
      <c r="Y72" s="27"/>
      <c r="Z72" s="27"/>
      <c r="AA72" s="27"/>
      <c r="AB72" s="27"/>
      <c r="AC72" s="27"/>
    </row>
    <row r="73" spans="4:29" ht="25.15" customHeight="1" x14ac:dyDescent="0.55000000000000004">
      <c r="D73" s="27"/>
      <c r="E73" s="74" t="str">
        <f>IF('Initial_Set-Up'!D41="", "", 'Initial_Set-Up'!D41)</f>
        <v>Credit Card</v>
      </c>
      <c r="F73" s="35"/>
      <c r="G73" s="87">
        <v>15</v>
      </c>
      <c r="H73" s="87">
        <v>15</v>
      </c>
      <c r="I73" s="87">
        <v>15</v>
      </c>
      <c r="J73" s="87">
        <v>15</v>
      </c>
      <c r="K73" s="87">
        <v>15</v>
      </c>
      <c r="L73" s="87">
        <v>15</v>
      </c>
      <c r="M73" s="87">
        <v>15</v>
      </c>
      <c r="N73" s="87">
        <v>15</v>
      </c>
      <c r="O73" s="87">
        <v>15</v>
      </c>
      <c r="P73" s="87">
        <v>15</v>
      </c>
      <c r="Q73" s="87">
        <v>15</v>
      </c>
      <c r="R73" s="87">
        <v>15</v>
      </c>
      <c r="S73" s="80">
        <f t="shared" ref="S73:S82" si="5">SUM(G73:R73)</f>
        <v>180</v>
      </c>
      <c r="T73" s="40"/>
      <c r="V73" s="27"/>
      <c r="W73" s="27"/>
      <c r="X73" s="27"/>
      <c r="Y73" s="27"/>
      <c r="Z73" s="27"/>
      <c r="AA73" s="27"/>
      <c r="AB73" s="27"/>
      <c r="AC73" s="27"/>
    </row>
    <row r="74" spans="4:29" ht="25.15" customHeight="1" x14ac:dyDescent="0.55000000000000004">
      <c r="D74" s="27"/>
      <c r="E74" s="74" t="str">
        <f>IF('Initial_Set-Up'!D42="", "", 'Initial_Set-Up'!D42)</f>
        <v/>
      </c>
      <c r="F74" s="35"/>
      <c r="G74" s="87"/>
      <c r="H74" s="87"/>
      <c r="I74" s="87"/>
      <c r="J74" s="87"/>
      <c r="K74" s="87"/>
      <c r="L74" s="87"/>
      <c r="M74" s="87"/>
      <c r="N74" s="87"/>
      <c r="O74" s="87"/>
      <c r="P74" s="87"/>
      <c r="Q74" s="87"/>
      <c r="R74" s="87"/>
      <c r="S74" s="80">
        <f t="shared" si="5"/>
        <v>0</v>
      </c>
      <c r="T74" s="40"/>
      <c r="V74" s="27"/>
      <c r="W74" s="27"/>
      <c r="X74" s="27"/>
      <c r="Y74" s="27"/>
      <c r="Z74" s="27"/>
      <c r="AA74" s="27"/>
      <c r="AB74" s="27"/>
      <c r="AC74" s="27"/>
    </row>
    <row r="75" spans="4:29" ht="25.15" customHeight="1" x14ac:dyDescent="0.55000000000000004">
      <c r="D75" s="27"/>
      <c r="E75" s="74" t="str">
        <f>IF('Initial_Set-Up'!D43="", "", 'Initial_Set-Up'!D43)</f>
        <v/>
      </c>
      <c r="F75" s="35"/>
      <c r="G75" s="87"/>
      <c r="H75" s="87"/>
      <c r="I75" s="87"/>
      <c r="J75" s="87"/>
      <c r="K75" s="87"/>
      <c r="L75" s="87"/>
      <c r="M75" s="87"/>
      <c r="N75" s="87"/>
      <c r="O75" s="87"/>
      <c r="P75" s="87"/>
      <c r="Q75" s="87"/>
      <c r="R75" s="87"/>
      <c r="S75" s="80">
        <f t="shared" si="5"/>
        <v>0</v>
      </c>
      <c r="T75" s="40"/>
      <c r="V75" s="27"/>
      <c r="W75" s="27"/>
      <c r="X75" s="27"/>
      <c r="Y75" s="27"/>
      <c r="Z75" s="27"/>
      <c r="AA75" s="27"/>
      <c r="AB75" s="27"/>
      <c r="AC75" s="27"/>
    </row>
    <row r="76" spans="4:29" ht="25.15" customHeight="1" x14ac:dyDescent="0.55000000000000004">
      <c r="D76" s="27"/>
      <c r="E76" s="74" t="str">
        <f>IF('Initial_Set-Up'!D44="", "", 'Initial_Set-Up'!D44)</f>
        <v/>
      </c>
      <c r="F76" s="35"/>
      <c r="G76" s="87"/>
      <c r="H76" s="87"/>
      <c r="I76" s="87"/>
      <c r="J76" s="87"/>
      <c r="K76" s="87"/>
      <c r="L76" s="87"/>
      <c r="M76" s="87"/>
      <c r="N76" s="87"/>
      <c r="O76" s="87"/>
      <c r="P76" s="87"/>
      <c r="Q76" s="87"/>
      <c r="R76" s="87"/>
      <c r="S76" s="80">
        <f t="shared" si="5"/>
        <v>0</v>
      </c>
      <c r="T76" s="40"/>
      <c r="V76" s="27"/>
      <c r="W76" s="27"/>
      <c r="X76" s="27"/>
      <c r="Y76" s="27"/>
      <c r="Z76" s="27"/>
      <c r="AA76" s="27"/>
      <c r="AB76" s="27"/>
      <c r="AC76" s="27"/>
    </row>
    <row r="77" spans="4:29" ht="25.15" customHeight="1" x14ac:dyDescent="0.55000000000000004">
      <c r="D77" s="27"/>
      <c r="E77" s="74" t="str">
        <f>IF('Initial_Set-Up'!D45="", "", 'Initial_Set-Up'!D45)</f>
        <v/>
      </c>
      <c r="F77" s="35"/>
      <c r="G77" s="87"/>
      <c r="H77" s="87"/>
      <c r="I77" s="87"/>
      <c r="J77" s="87"/>
      <c r="K77" s="87"/>
      <c r="L77" s="87"/>
      <c r="M77" s="87"/>
      <c r="N77" s="87"/>
      <c r="O77" s="87"/>
      <c r="P77" s="87"/>
      <c r="Q77" s="87"/>
      <c r="R77" s="87"/>
      <c r="S77" s="80">
        <f t="shared" si="5"/>
        <v>0</v>
      </c>
      <c r="T77" s="40"/>
      <c r="V77" s="109" t="s">
        <v>119</v>
      </c>
      <c r="W77" s="109"/>
      <c r="X77" s="109"/>
      <c r="Y77" s="109"/>
      <c r="Z77" s="27"/>
      <c r="AA77" s="27"/>
      <c r="AB77" s="27"/>
      <c r="AC77" s="27"/>
    </row>
    <row r="78" spans="4:29" ht="25.15" customHeight="1" x14ac:dyDescent="0.55000000000000004">
      <c r="D78" s="27"/>
      <c r="E78" s="74" t="str">
        <f>IF('Initial_Set-Up'!D46="", "", 'Initial_Set-Up'!D46)</f>
        <v/>
      </c>
      <c r="F78" s="35"/>
      <c r="G78" s="87"/>
      <c r="H78" s="87"/>
      <c r="I78" s="87"/>
      <c r="J78" s="87"/>
      <c r="K78" s="87"/>
      <c r="L78" s="87"/>
      <c r="M78" s="87"/>
      <c r="N78" s="87"/>
      <c r="O78" s="87"/>
      <c r="P78" s="87"/>
      <c r="Q78" s="87"/>
      <c r="R78" s="87"/>
      <c r="S78" s="80">
        <f t="shared" si="5"/>
        <v>0</v>
      </c>
      <c r="T78" s="40"/>
      <c r="V78" s="27"/>
      <c r="W78" s="27"/>
      <c r="X78" s="27"/>
      <c r="Y78" s="27"/>
      <c r="Z78" s="27"/>
      <c r="AA78" s="27"/>
      <c r="AB78" s="27"/>
      <c r="AC78" s="27"/>
    </row>
    <row r="79" spans="4:29" ht="25.15" customHeight="1" x14ac:dyDescent="0.55000000000000004">
      <c r="D79" s="27"/>
      <c r="E79" s="74" t="str">
        <f>IF('Initial_Set-Up'!D47="", "", 'Initial_Set-Up'!D47)</f>
        <v/>
      </c>
      <c r="F79" s="35"/>
      <c r="G79" s="87"/>
      <c r="H79" s="87"/>
      <c r="I79" s="87"/>
      <c r="J79" s="87"/>
      <c r="K79" s="87"/>
      <c r="L79" s="87"/>
      <c r="M79" s="87"/>
      <c r="N79" s="87"/>
      <c r="O79" s="87"/>
      <c r="P79" s="87"/>
      <c r="Q79" s="87"/>
      <c r="R79" s="87"/>
      <c r="S79" s="80">
        <f t="shared" si="5"/>
        <v>0</v>
      </c>
      <c r="T79" s="40"/>
      <c r="V79" s="27"/>
      <c r="W79" s="27"/>
      <c r="X79" s="27"/>
      <c r="Y79" s="27"/>
      <c r="Z79" s="27"/>
      <c r="AA79" s="27"/>
      <c r="AB79" s="27"/>
      <c r="AC79" s="27"/>
    </row>
    <row r="80" spans="4:29" ht="25.15" customHeight="1" x14ac:dyDescent="0.55000000000000004">
      <c r="D80" s="27"/>
      <c r="E80" s="74" t="str">
        <f>IF('Initial_Set-Up'!D48="", "", 'Initial_Set-Up'!D48)</f>
        <v/>
      </c>
      <c r="F80" s="35"/>
      <c r="G80" s="87"/>
      <c r="H80" s="87"/>
      <c r="I80" s="87"/>
      <c r="J80" s="87"/>
      <c r="K80" s="87"/>
      <c r="L80" s="87"/>
      <c r="M80" s="87"/>
      <c r="N80" s="87"/>
      <c r="O80" s="87"/>
      <c r="P80" s="87"/>
      <c r="Q80" s="87"/>
      <c r="R80" s="87"/>
      <c r="S80" s="80">
        <f t="shared" si="5"/>
        <v>0</v>
      </c>
      <c r="T80" s="40"/>
      <c r="V80" s="27"/>
      <c r="W80" s="27"/>
      <c r="X80" s="27"/>
      <c r="Y80" s="27"/>
      <c r="Z80" s="27"/>
      <c r="AA80" s="27"/>
      <c r="AB80" s="27"/>
      <c r="AC80" s="27"/>
    </row>
    <row r="81" spans="4:29" ht="25.15" customHeight="1" x14ac:dyDescent="0.55000000000000004">
      <c r="D81" s="27"/>
      <c r="E81" s="74" t="str">
        <f>IF('Initial_Set-Up'!D49="", "", 'Initial_Set-Up'!D49)</f>
        <v/>
      </c>
      <c r="F81" s="35"/>
      <c r="G81" s="87"/>
      <c r="H81" s="87"/>
      <c r="I81" s="87"/>
      <c r="J81" s="87"/>
      <c r="K81" s="87"/>
      <c r="L81" s="87"/>
      <c r="M81" s="87"/>
      <c r="N81" s="87"/>
      <c r="O81" s="87"/>
      <c r="P81" s="87"/>
      <c r="Q81" s="87"/>
      <c r="R81" s="87"/>
      <c r="S81" s="80">
        <f t="shared" si="5"/>
        <v>0</v>
      </c>
      <c r="T81" s="40"/>
      <c r="V81" s="27"/>
      <c r="W81" s="27"/>
      <c r="X81" s="27"/>
      <c r="Y81" s="27"/>
      <c r="Z81" s="27"/>
      <c r="AA81" s="27"/>
      <c r="AB81" s="27"/>
      <c r="AC81" s="27"/>
    </row>
    <row r="82" spans="4:29" ht="25.15" customHeight="1" x14ac:dyDescent="0.55000000000000004">
      <c r="D82" s="27"/>
      <c r="E82" s="36" t="s">
        <v>120</v>
      </c>
      <c r="F82" s="36"/>
      <c r="G82" s="82">
        <f>SUM(G72:G81)</f>
        <v>95</v>
      </c>
      <c r="H82" s="82">
        <f t="shared" ref="H82:Q82" si="6">SUM(H72:H81)</f>
        <v>95</v>
      </c>
      <c r="I82" s="82">
        <f t="shared" si="6"/>
        <v>95</v>
      </c>
      <c r="J82" s="82">
        <f t="shared" si="6"/>
        <v>95</v>
      </c>
      <c r="K82" s="82">
        <f t="shared" si="6"/>
        <v>95</v>
      </c>
      <c r="L82" s="82">
        <f t="shared" si="6"/>
        <v>95</v>
      </c>
      <c r="M82" s="82">
        <f t="shared" si="6"/>
        <v>95</v>
      </c>
      <c r="N82" s="82">
        <f t="shared" si="6"/>
        <v>95</v>
      </c>
      <c r="O82" s="82">
        <f t="shared" si="6"/>
        <v>95</v>
      </c>
      <c r="P82" s="82">
        <f t="shared" si="6"/>
        <v>95</v>
      </c>
      <c r="Q82" s="82">
        <f t="shared" si="6"/>
        <v>95</v>
      </c>
      <c r="R82" s="82">
        <f>SUM(R72:R81)</f>
        <v>95</v>
      </c>
      <c r="S82" s="83">
        <f t="shared" si="5"/>
        <v>1140</v>
      </c>
      <c r="T82" s="29"/>
      <c r="V82" s="27"/>
      <c r="W82" s="27"/>
      <c r="X82" s="27"/>
      <c r="Y82" s="27"/>
      <c r="Z82" s="27"/>
      <c r="AA82" s="27"/>
      <c r="AB82" s="27"/>
      <c r="AC82" s="27"/>
    </row>
    <row r="83" spans="4:29" ht="25.15" customHeight="1" x14ac:dyDescent="0.55000000000000004">
      <c r="D83" s="27"/>
      <c r="E83" s="27"/>
      <c r="F83" s="27"/>
      <c r="G83" s="29"/>
      <c r="H83" s="29"/>
      <c r="I83" s="29"/>
      <c r="J83" s="29"/>
      <c r="K83" s="29"/>
      <c r="L83" s="29"/>
      <c r="M83" s="29"/>
      <c r="N83" s="29"/>
      <c r="O83" s="29"/>
      <c r="P83" s="29"/>
      <c r="Q83" s="29"/>
      <c r="R83" s="29"/>
      <c r="S83" s="29"/>
      <c r="T83" s="29"/>
      <c r="V83" s="27"/>
      <c r="W83" s="27"/>
      <c r="X83" s="27"/>
      <c r="Y83" s="27"/>
      <c r="Z83" s="27"/>
      <c r="AA83" s="27"/>
      <c r="AB83" s="27"/>
      <c r="AC83" s="27"/>
    </row>
    <row r="84" spans="4:29" ht="25.15" customHeight="1" x14ac:dyDescent="0.45"/>
    <row r="85" spans="4:29" ht="25.15" customHeight="1" x14ac:dyDescent="0.45"/>
    <row r="86" spans="4:29" ht="25.15" customHeight="1" x14ac:dyDescent="0.45"/>
    <row r="87" spans="4:29" ht="25.15" customHeight="1" x14ac:dyDescent="0.45"/>
    <row r="88" spans="4:29" ht="25.15" customHeight="1" x14ac:dyDescent="0.45"/>
    <row r="89" spans="4:29" ht="25.15" customHeight="1" x14ac:dyDescent="0.45"/>
    <row r="90" spans="4:29" ht="25.15" customHeight="1" x14ac:dyDescent="0.45"/>
    <row r="91" spans="4:29" ht="25.15" customHeight="1" x14ac:dyDescent="0.45"/>
    <row r="92" spans="4:29" ht="25.15" customHeight="1" x14ac:dyDescent="0.45">
      <c r="D92" s="27"/>
      <c r="E92" s="27"/>
      <c r="F92" s="27"/>
      <c r="G92" s="27"/>
      <c r="H92" s="27"/>
      <c r="I92" s="27"/>
      <c r="J92" s="27"/>
      <c r="K92" s="27"/>
      <c r="L92" s="27"/>
      <c r="M92" s="27"/>
      <c r="N92" s="27"/>
      <c r="O92" s="27"/>
      <c r="P92" s="27"/>
      <c r="Q92" s="27"/>
      <c r="R92" s="27"/>
      <c r="S92" s="27"/>
      <c r="T92" s="27"/>
      <c r="V92" s="27"/>
      <c r="W92" s="27"/>
      <c r="X92" s="27"/>
      <c r="Y92" s="27"/>
      <c r="Z92" s="27"/>
      <c r="AA92" s="27"/>
      <c r="AB92" s="27"/>
      <c r="AC92" s="27"/>
    </row>
    <row r="93" spans="4:29" ht="25.15" customHeight="1" thickBot="1" x14ac:dyDescent="0.5">
      <c r="D93" s="27"/>
      <c r="E93" s="31" t="s">
        <v>121</v>
      </c>
      <c r="F93" s="32"/>
      <c r="G93" s="42" t="s">
        <v>38</v>
      </c>
      <c r="H93" s="42" t="s">
        <v>39</v>
      </c>
      <c r="I93" s="42" t="s">
        <v>40</v>
      </c>
      <c r="J93" s="42" t="s">
        <v>41</v>
      </c>
      <c r="K93" s="42" t="s">
        <v>42</v>
      </c>
      <c r="L93" s="42" t="s">
        <v>43</v>
      </c>
      <c r="M93" s="42" t="s">
        <v>44</v>
      </c>
      <c r="N93" s="42" t="s">
        <v>45</v>
      </c>
      <c r="O93" s="42" t="s">
        <v>46</v>
      </c>
      <c r="P93" s="42" t="s">
        <v>47</v>
      </c>
      <c r="Q93" s="42" t="s">
        <v>48</v>
      </c>
      <c r="R93" s="42" t="s">
        <v>49</v>
      </c>
      <c r="S93" s="43" t="s">
        <v>105</v>
      </c>
      <c r="T93" s="38"/>
      <c r="V93" s="109" t="s">
        <v>122</v>
      </c>
      <c r="W93" s="109"/>
      <c r="X93" s="109"/>
      <c r="Y93" s="109"/>
      <c r="Z93" s="109" t="s">
        <v>123</v>
      </c>
      <c r="AA93" s="109"/>
      <c r="AB93" s="109"/>
      <c r="AC93" s="109"/>
    </row>
    <row r="94" spans="4:29" ht="25.15" customHeight="1" thickTop="1" x14ac:dyDescent="0.55000000000000004">
      <c r="D94" s="27"/>
      <c r="E94" s="74" t="str">
        <f>IF('Initial_Set-Up'!I40="", "", 'Initial_Set-Up'!I40)</f>
        <v>Emergency Fund</v>
      </c>
      <c r="F94" s="34"/>
      <c r="G94" s="88">
        <v>250</v>
      </c>
      <c r="H94" s="88">
        <v>250</v>
      </c>
      <c r="I94" s="88">
        <v>250</v>
      </c>
      <c r="J94" s="88">
        <v>250</v>
      </c>
      <c r="K94" s="88">
        <v>250</v>
      </c>
      <c r="L94" s="88">
        <v>250</v>
      </c>
      <c r="M94" s="88">
        <v>250</v>
      </c>
      <c r="N94" s="88">
        <v>250</v>
      </c>
      <c r="O94" s="88">
        <v>250</v>
      </c>
      <c r="P94" s="88">
        <v>250</v>
      </c>
      <c r="Q94" s="88">
        <v>250</v>
      </c>
      <c r="R94" s="88">
        <v>250</v>
      </c>
      <c r="S94" s="89">
        <f>SUM(G94:R94)</f>
        <v>3000</v>
      </c>
      <c r="T94" s="39"/>
      <c r="V94" s="27"/>
      <c r="W94" s="27"/>
      <c r="X94" s="27"/>
      <c r="Y94" s="27"/>
      <c r="Z94" s="27"/>
      <c r="AA94" s="27"/>
      <c r="AB94" s="27"/>
      <c r="AC94" s="27"/>
    </row>
    <row r="95" spans="4:29" ht="25.15" customHeight="1" x14ac:dyDescent="0.55000000000000004">
      <c r="D95" s="27"/>
      <c r="E95" s="74" t="str">
        <f>IF('Initial_Set-Up'!I41="", "", 'Initial_Set-Up'!I41)</f>
        <v>Travel Fund</v>
      </c>
      <c r="F95" s="33"/>
      <c r="G95" s="90">
        <v>20</v>
      </c>
      <c r="H95" s="90">
        <v>20</v>
      </c>
      <c r="I95" s="90">
        <v>20</v>
      </c>
      <c r="J95" s="90">
        <v>20</v>
      </c>
      <c r="K95" s="90">
        <v>20</v>
      </c>
      <c r="L95" s="90">
        <v>20</v>
      </c>
      <c r="M95" s="90">
        <v>20</v>
      </c>
      <c r="N95" s="90">
        <v>20</v>
      </c>
      <c r="O95" s="90">
        <v>20</v>
      </c>
      <c r="P95" s="90">
        <v>20</v>
      </c>
      <c r="Q95" s="90">
        <v>20</v>
      </c>
      <c r="R95" s="90">
        <v>20</v>
      </c>
      <c r="S95" s="80">
        <f t="shared" ref="S95:S104" si="7">SUM(G95:R95)</f>
        <v>240</v>
      </c>
      <c r="T95" s="40"/>
      <c r="V95" s="27"/>
      <c r="W95" s="27"/>
      <c r="X95" s="27"/>
      <c r="Y95" s="27"/>
      <c r="Z95" s="27"/>
      <c r="AA95" s="27"/>
      <c r="AB95" s="27"/>
      <c r="AC95" s="27"/>
    </row>
    <row r="96" spans="4:29" ht="25.15" customHeight="1" x14ac:dyDescent="0.55000000000000004">
      <c r="D96" s="27"/>
      <c r="E96" s="74" t="str">
        <f>IF('Initial_Set-Up'!I42="", "", 'Initial_Set-Up'!I42)</f>
        <v>Investing</v>
      </c>
      <c r="F96" s="33"/>
      <c r="G96" s="90">
        <v>100</v>
      </c>
      <c r="H96" s="90">
        <v>100</v>
      </c>
      <c r="I96" s="90">
        <v>100</v>
      </c>
      <c r="J96" s="90">
        <v>100</v>
      </c>
      <c r="K96" s="90">
        <v>100</v>
      </c>
      <c r="L96" s="90">
        <v>100</v>
      </c>
      <c r="M96" s="90">
        <v>100</v>
      </c>
      <c r="N96" s="90">
        <v>100</v>
      </c>
      <c r="O96" s="90">
        <v>100</v>
      </c>
      <c r="P96" s="90">
        <v>100</v>
      </c>
      <c r="Q96" s="90">
        <v>100</v>
      </c>
      <c r="R96" s="90">
        <v>100</v>
      </c>
      <c r="S96" s="80">
        <f t="shared" si="7"/>
        <v>1200</v>
      </c>
      <c r="T96" s="40"/>
      <c r="V96" s="27"/>
      <c r="W96" s="27"/>
      <c r="X96" s="27"/>
      <c r="Y96" s="27"/>
      <c r="Z96" s="27"/>
      <c r="AA96" s="27"/>
      <c r="AB96" s="27"/>
      <c r="AC96" s="27"/>
    </row>
    <row r="97" spans="4:29" ht="25.15" customHeight="1" x14ac:dyDescent="0.55000000000000004">
      <c r="D97" s="27"/>
      <c r="E97" s="74" t="str">
        <f>IF('Initial_Set-Up'!I43="", "", 'Initial_Set-Up'!I43)</f>
        <v>Tuition</v>
      </c>
      <c r="F97" s="33"/>
      <c r="G97" s="90">
        <v>300</v>
      </c>
      <c r="H97" s="90">
        <v>300</v>
      </c>
      <c r="I97" s="90">
        <v>300</v>
      </c>
      <c r="J97" s="90">
        <v>300</v>
      </c>
      <c r="K97" s="90">
        <v>300</v>
      </c>
      <c r="L97" s="90">
        <v>300</v>
      </c>
      <c r="M97" s="90">
        <v>300</v>
      </c>
      <c r="N97" s="90">
        <v>300</v>
      </c>
      <c r="O97" s="90">
        <v>300</v>
      </c>
      <c r="P97" s="90">
        <v>300</v>
      </c>
      <c r="Q97" s="90">
        <v>300</v>
      </c>
      <c r="R97" s="90">
        <v>300</v>
      </c>
      <c r="S97" s="80">
        <f t="shared" si="7"/>
        <v>3600</v>
      </c>
      <c r="T97" s="40"/>
      <c r="V97" s="27"/>
      <c r="W97" s="27"/>
      <c r="X97" s="27"/>
      <c r="Y97" s="27"/>
      <c r="Z97" s="27"/>
      <c r="AA97" s="27"/>
      <c r="AB97" s="27"/>
      <c r="AC97" s="27"/>
    </row>
    <row r="98" spans="4:29" ht="25.15" customHeight="1" x14ac:dyDescent="0.55000000000000004">
      <c r="D98" s="27"/>
      <c r="E98" s="74" t="str">
        <f>IF('Initial_Set-Up'!I44="", "", 'Initial_Set-Up'!I44)</f>
        <v/>
      </c>
      <c r="F98" s="33"/>
      <c r="G98" s="90"/>
      <c r="H98" s="90"/>
      <c r="I98" s="90"/>
      <c r="J98" s="90"/>
      <c r="K98" s="90"/>
      <c r="L98" s="90"/>
      <c r="M98" s="90"/>
      <c r="N98" s="90"/>
      <c r="O98" s="90"/>
      <c r="P98" s="90"/>
      <c r="Q98" s="90"/>
      <c r="R98" s="90"/>
      <c r="S98" s="80">
        <f t="shared" si="7"/>
        <v>0</v>
      </c>
      <c r="T98" s="40"/>
      <c r="V98" s="27"/>
      <c r="W98" s="27"/>
      <c r="X98" s="27"/>
      <c r="Y98" s="27"/>
      <c r="Z98" s="27"/>
      <c r="AA98" s="27"/>
      <c r="AB98" s="27"/>
      <c r="AC98" s="27"/>
    </row>
    <row r="99" spans="4:29" ht="25.15" customHeight="1" x14ac:dyDescent="0.55000000000000004">
      <c r="D99" s="27"/>
      <c r="E99" s="74" t="str">
        <f>IF('Initial_Set-Up'!I45="", "", 'Initial_Set-Up'!I45)</f>
        <v/>
      </c>
      <c r="F99" s="33"/>
      <c r="G99" s="90"/>
      <c r="H99" s="90"/>
      <c r="I99" s="90"/>
      <c r="J99" s="90"/>
      <c r="K99" s="90"/>
      <c r="L99" s="90"/>
      <c r="M99" s="90"/>
      <c r="N99" s="90"/>
      <c r="O99" s="90"/>
      <c r="P99" s="90"/>
      <c r="Q99" s="90"/>
      <c r="R99" s="90"/>
      <c r="S99" s="80">
        <f t="shared" si="7"/>
        <v>0</v>
      </c>
      <c r="T99" s="40"/>
      <c r="V99" s="109" t="s">
        <v>124</v>
      </c>
      <c r="W99" s="109"/>
      <c r="X99" s="109"/>
      <c r="Y99" s="109"/>
      <c r="Z99" s="27"/>
      <c r="AA99" s="27"/>
      <c r="AB99" s="27"/>
      <c r="AC99" s="27"/>
    </row>
    <row r="100" spans="4:29" ht="25.15" customHeight="1" x14ac:dyDescent="0.55000000000000004">
      <c r="D100" s="27"/>
      <c r="E100" s="74" t="str">
        <f>IF('Initial_Set-Up'!I46="", "", 'Initial_Set-Up'!I46)</f>
        <v/>
      </c>
      <c r="F100" s="33"/>
      <c r="G100" s="90"/>
      <c r="H100" s="90"/>
      <c r="I100" s="90"/>
      <c r="J100" s="90"/>
      <c r="K100" s="90"/>
      <c r="L100" s="90"/>
      <c r="M100" s="90"/>
      <c r="N100" s="90"/>
      <c r="O100" s="90"/>
      <c r="P100" s="90"/>
      <c r="Q100" s="90"/>
      <c r="R100" s="90"/>
      <c r="S100" s="80">
        <f t="shared" si="7"/>
        <v>0</v>
      </c>
      <c r="T100" s="40"/>
      <c r="V100" s="27"/>
      <c r="W100" s="27"/>
      <c r="X100" s="27"/>
      <c r="Y100" s="27"/>
      <c r="Z100" s="27"/>
      <c r="AA100" s="27"/>
      <c r="AB100" s="27"/>
      <c r="AC100" s="27"/>
    </row>
    <row r="101" spans="4:29" ht="25.15" customHeight="1" x14ac:dyDescent="0.55000000000000004">
      <c r="D101" s="27"/>
      <c r="E101" s="74" t="str">
        <f>IF('Initial_Set-Up'!I47="", "", 'Initial_Set-Up'!I47)</f>
        <v/>
      </c>
      <c r="F101" s="33"/>
      <c r="G101" s="90"/>
      <c r="H101" s="90"/>
      <c r="I101" s="90"/>
      <c r="J101" s="90"/>
      <c r="K101" s="90"/>
      <c r="L101" s="90"/>
      <c r="M101" s="90"/>
      <c r="N101" s="90"/>
      <c r="O101" s="90"/>
      <c r="P101" s="90"/>
      <c r="Q101" s="90"/>
      <c r="R101" s="90"/>
      <c r="S101" s="80">
        <f t="shared" si="7"/>
        <v>0</v>
      </c>
      <c r="T101" s="40"/>
      <c r="V101" s="27"/>
      <c r="W101" s="27"/>
      <c r="X101" s="27"/>
      <c r="Y101" s="27"/>
      <c r="Z101" s="27"/>
      <c r="AA101" s="27"/>
      <c r="AB101" s="27"/>
      <c r="AC101" s="27"/>
    </row>
    <row r="102" spans="4:29" ht="25.15" customHeight="1" x14ac:dyDescent="0.55000000000000004">
      <c r="D102" s="27"/>
      <c r="E102" s="74" t="str">
        <f>IF('Initial_Set-Up'!I48="", "", 'Initial_Set-Up'!I48)</f>
        <v/>
      </c>
      <c r="F102" s="33"/>
      <c r="G102" s="90"/>
      <c r="H102" s="90"/>
      <c r="I102" s="90"/>
      <c r="J102" s="90"/>
      <c r="K102" s="90"/>
      <c r="L102" s="90"/>
      <c r="M102" s="90"/>
      <c r="N102" s="90"/>
      <c r="O102" s="90"/>
      <c r="P102" s="90"/>
      <c r="Q102" s="90"/>
      <c r="R102" s="90"/>
      <c r="S102" s="80">
        <f t="shared" si="7"/>
        <v>0</v>
      </c>
      <c r="T102" s="40"/>
      <c r="V102" s="27"/>
      <c r="W102" s="27"/>
      <c r="X102" s="27"/>
      <c r="Y102" s="27"/>
      <c r="Z102" s="27"/>
      <c r="AA102" s="27"/>
      <c r="AB102" s="27"/>
      <c r="AC102" s="27"/>
    </row>
    <row r="103" spans="4:29" ht="25.15" customHeight="1" x14ac:dyDescent="0.55000000000000004">
      <c r="D103" s="27"/>
      <c r="E103" s="74" t="str">
        <f>IF('Initial_Set-Up'!I49="", "", 'Initial_Set-Up'!I49)</f>
        <v/>
      </c>
      <c r="F103" s="33"/>
      <c r="G103" s="90"/>
      <c r="H103" s="90"/>
      <c r="I103" s="90"/>
      <c r="J103" s="90"/>
      <c r="K103" s="90"/>
      <c r="L103" s="90"/>
      <c r="M103" s="90"/>
      <c r="N103" s="90"/>
      <c r="O103" s="90"/>
      <c r="P103" s="90"/>
      <c r="Q103" s="90"/>
      <c r="R103" s="90"/>
      <c r="S103" s="80">
        <f t="shared" si="7"/>
        <v>0</v>
      </c>
      <c r="T103" s="40"/>
      <c r="V103" s="27"/>
      <c r="W103" s="27"/>
      <c r="X103" s="27"/>
      <c r="Y103" s="27"/>
      <c r="Z103" s="27"/>
      <c r="AA103" s="27"/>
      <c r="AB103" s="27"/>
      <c r="AC103" s="27"/>
    </row>
    <row r="104" spans="4:29" ht="25.15" customHeight="1" x14ac:dyDescent="0.55000000000000004">
      <c r="D104" s="27"/>
      <c r="E104" s="41" t="s">
        <v>125</v>
      </c>
      <c r="F104" s="41"/>
      <c r="G104" s="82">
        <f>SUM(G94:G103)</f>
        <v>670</v>
      </c>
      <c r="H104" s="82">
        <f t="shared" ref="H104:R104" si="8">SUM(H94:H103)</f>
        <v>670</v>
      </c>
      <c r="I104" s="82">
        <f t="shared" si="8"/>
        <v>670</v>
      </c>
      <c r="J104" s="82">
        <f t="shared" si="8"/>
        <v>670</v>
      </c>
      <c r="K104" s="82">
        <f t="shared" si="8"/>
        <v>670</v>
      </c>
      <c r="L104" s="82">
        <f t="shared" si="8"/>
        <v>670</v>
      </c>
      <c r="M104" s="82">
        <f t="shared" si="8"/>
        <v>670</v>
      </c>
      <c r="N104" s="82">
        <f t="shared" si="8"/>
        <v>670</v>
      </c>
      <c r="O104" s="82">
        <f t="shared" si="8"/>
        <v>670</v>
      </c>
      <c r="P104" s="82">
        <f t="shared" si="8"/>
        <v>670</v>
      </c>
      <c r="Q104" s="82">
        <f t="shared" si="8"/>
        <v>670</v>
      </c>
      <c r="R104" s="82">
        <f t="shared" si="8"/>
        <v>670</v>
      </c>
      <c r="S104" s="83">
        <f t="shared" si="7"/>
        <v>8040</v>
      </c>
      <c r="T104" s="29"/>
      <c r="V104" s="27"/>
      <c r="W104" s="27"/>
      <c r="X104" s="27"/>
      <c r="Y104" s="27"/>
      <c r="Z104" s="27"/>
      <c r="AA104" s="27"/>
      <c r="AB104" s="27"/>
      <c r="AC104" s="27"/>
    </row>
    <row r="105" spans="4:29" ht="25.15" customHeight="1" x14ac:dyDescent="0.55000000000000004">
      <c r="D105" s="27"/>
      <c r="E105" s="27"/>
      <c r="F105" s="27"/>
      <c r="G105" s="29"/>
      <c r="H105" s="29"/>
      <c r="I105" s="29"/>
      <c r="J105" s="29"/>
      <c r="K105" s="29"/>
      <c r="L105" s="29"/>
      <c r="M105" s="29"/>
      <c r="N105" s="29"/>
      <c r="O105" s="29"/>
      <c r="P105" s="29"/>
      <c r="Q105" s="29"/>
      <c r="R105" s="29"/>
      <c r="S105" s="29"/>
      <c r="T105" s="29"/>
      <c r="V105" s="27"/>
      <c r="W105" s="27"/>
      <c r="X105" s="27"/>
      <c r="Y105" s="27"/>
      <c r="Z105" s="27"/>
      <c r="AA105" s="27"/>
      <c r="AB105" s="27"/>
      <c r="AC105" s="27"/>
    </row>
    <row r="106" spans="4:29" ht="25.15" customHeight="1" x14ac:dyDescent="0.45"/>
    <row r="107" spans="4:29" ht="25.15" customHeight="1" x14ac:dyDescent="0.45"/>
    <row r="108" spans="4:29" ht="25.15" customHeight="1" x14ac:dyDescent="0.45"/>
    <row r="109" spans="4:29" ht="25.15" customHeight="1" x14ac:dyDescent="0.45"/>
    <row r="110" spans="4:29" ht="25.15" customHeight="1" x14ac:dyDescent="0.45"/>
    <row r="111" spans="4:29" ht="25.15" customHeight="1" x14ac:dyDescent="0.45"/>
  </sheetData>
  <sheetProtection algorithmName="SHA-512" hashValue="wyQiizScw8xSjvhZTgUVemHeR85MZIgmY8o9PZ1M4nXDPCV4xihBJQ4wjZ3xKO/j7J123RzrWosjvl3pL61hEA==" saltValue="0W5Rei2EpgtP4kBf3SyMeg==" spinCount="100000" sheet="1" objects="1" scenarios="1" formatCells="0" formatColumns="0" formatRows="0"/>
  <mergeCells count="24">
    <mergeCell ref="V77:Y77"/>
    <mergeCell ref="Z93:AC93"/>
    <mergeCell ref="V93:Y93"/>
    <mergeCell ref="V99:Y99"/>
    <mergeCell ref="V23:Y23"/>
    <mergeCell ref="V39:Y39"/>
    <mergeCell ref="Z39:AC39"/>
    <mergeCell ref="V45:Y45"/>
    <mergeCell ref="V71:Y71"/>
    <mergeCell ref="Z71:AC71"/>
    <mergeCell ref="Z38:AC38"/>
    <mergeCell ref="E4:F5"/>
    <mergeCell ref="E7:F7"/>
    <mergeCell ref="V6:W6"/>
    <mergeCell ref="V7:W7"/>
    <mergeCell ref="Z17:AC17"/>
    <mergeCell ref="V17:Y17"/>
    <mergeCell ref="V3:W4"/>
    <mergeCell ref="Y3:Z4"/>
    <mergeCell ref="AB3:AC4"/>
    <mergeCell ref="Y6:Z6"/>
    <mergeCell ref="Y7:Z7"/>
    <mergeCell ref="AB6:AC6"/>
    <mergeCell ref="AB7:AC7"/>
  </mergeCells>
  <phoneticPr fontId="4" type="noConversion"/>
  <conditionalFormatting sqref="G7:S7 G18:S28 G40:S60 G72:S82 G94:S104">
    <cfRule type="expression" dxfId="133" priority="1">
      <formula>Currency="$"</formula>
    </cfRule>
    <cfRule type="expression" dxfId="132" priority="2">
      <formula>Currency="€"</formula>
    </cfRule>
    <cfRule type="expression" dxfId="131" priority="3">
      <formula>Currency="¥"</formula>
    </cfRule>
    <cfRule type="expression" dxfId="130" priority="4">
      <formula>Currency="£"</formula>
    </cfRule>
  </conditionalFormatting>
  <conditionalFormatting sqref="V6:W6">
    <cfRule type="dataBar" priority="7">
      <dataBar showValue="0">
        <cfvo type="num" val="0"/>
        <cfvo type="num" val="1"/>
        <color rgb="FF632024"/>
      </dataBar>
      <extLst>
        <ext xmlns:x14="http://schemas.microsoft.com/office/spreadsheetml/2009/9/main" uri="{B025F937-C7B1-47D3-B67F-A62EFF666E3E}">
          <x14:id>{15EC85B7-6FE2-4BDB-B2A3-061295827B05}</x14:id>
        </ext>
      </extLst>
    </cfRule>
  </conditionalFormatting>
  <conditionalFormatting sqref="Y6:Z6">
    <cfRule type="dataBar" priority="6">
      <dataBar showValue="0">
        <cfvo type="num" val="0"/>
        <cfvo type="num" val="1"/>
        <color rgb="FF6F4D38"/>
      </dataBar>
      <extLst>
        <ext xmlns:x14="http://schemas.microsoft.com/office/spreadsheetml/2009/9/main" uri="{B025F937-C7B1-47D3-B67F-A62EFF666E3E}">
          <x14:id>{D0E0C66C-566C-4A99-826E-D0F148FC5655}</x14:id>
        </ext>
      </extLst>
    </cfRule>
  </conditionalFormatting>
  <conditionalFormatting sqref="AB6:AC6">
    <cfRule type="dataBar" priority="5">
      <dataBar showValue="0">
        <cfvo type="num" val="0"/>
        <cfvo type="num" val="1"/>
        <color rgb="FF617891"/>
      </dataBar>
      <extLst>
        <ext xmlns:x14="http://schemas.microsoft.com/office/spreadsheetml/2009/9/main" uri="{B025F937-C7B1-47D3-B67F-A62EFF666E3E}">
          <x14:id>{55836786-90D2-42C0-B7C2-2DA423EF7C61}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5EC85B7-6FE2-4BDB-B2A3-061295827B05}">
            <x14:dataBar minLength="0" maxLength="100">
              <x14:cfvo type="num">
                <xm:f>0</xm:f>
              </x14:cfvo>
              <x14:cfvo type="num">
                <xm:f>1</xm:f>
              </x14:cfvo>
              <x14:negativeFillColor rgb="FFFF0000"/>
              <x14:axisColor rgb="FF000000"/>
            </x14:dataBar>
          </x14:cfRule>
          <xm:sqref>V6:W6</xm:sqref>
        </x14:conditionalFormatting>
        <x14:conditionalFormatting xmlns:xm="http://schemas.microsoft.com/office/excel/2006/main">
          <x14:cfRule type="dataBar" id="{D0E0C66C-566C-4A99-826E-D0F148FC5655}">
            <x14:dataBar minLength="0" maxLength="100">
              <x14:cfvo type="num">
                <xm:f>0</xm:f>
              </x14:cfvo>
              <x14:cfvo type="num">
                <xm:f>1</xm:f>
              </x14:cfvo>
              <x14:negativeFillColor rgb="FFFF0000"/>
              <x14:axisColor rgb="FF000000"/>
            </x14:dataBar>
          </x14:cfRule>
          <xm:sqref>Y6:Z6</xm:sqref>
        </x14:conditionalFormatting>
        <x14:conditionalFormatting xmlns:xm="http://schemas.microsoft.com/office/excel/2006/main">
          <x14:cfRule type="dataBar" id="{55836786-90D2-42C0-B7C2-2DA423EF7C61}">
            <x14:dataBar minLength="0" maxLength="100">
              <x14:cfvo type="num">
                <xm:f>0</xm:f>
              </x14:cfvo>
              <x14:cfvo type="num">
                <xm:f>1</xm:f>
              </x14:cfvo>
              <x14:negativeFillColor rgb="FFFF0000"/>
              <x14:axisColor rgb="FF000000"/>
            </x14:dataBar>
          </x14:cfRule>
          <xm:sqref>AB6:AC6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7B97E-AD50-4F47-8679-A5C8E84CFDD1}">
  <sheetPr codeName="Sheet4">
    <tabColor theme="0" tint="-0.34998626667073579"/>
  </sheetPr>
  <dimension ref="B2:F85"/>
  <sheetViews>
    <sheetView showGridLines="0" showRowColHeaders="0" zoomScale="67" workbookViewId="0">
      <selection activeCell="E51" sqref="E51"/>
      <extLst>
        <ext xmlns:xlsdti="http://schemas.microsoft.com/office/spreadsheetml/2023/showDataTypeIcons" uri="{77bfe23e-c014-4d31-8a63-9c772dbf06b6}">
          <xlsdti:showDataTypeIcons visible="0"/>
        </ext>
      </extLst>
    </sheetView>
  </sheetViews>
  <sheetFormatPr defaultColWidth="9" defaultRowHeight="15.75" x14ac:dyDescent="0.5"/>
  <cols>
    <col min="1" max="1" width="9" style="51"/>
    <col min="2" max="2" width="19.1328125" style="51" customWidth="1"/>
    <col min="3" max="3" width="28" style="51" customWidth="1"/>
    <col min="4" max="4" width="25.86328125" style="51" customWidth="1"/>
    <col min="5" max="5" width="22.86328125" style="51" customWidth="1"/>
    <col min="6" max="6" width="57.3984375" style="51" customWidth="1"/>
    <col min="7" max="16384" width="9" style="51"/>
  </cols>
  <sheetData>
    <row r="2" spans="2:6" ht="16.149999999999999" x14ac:dyDescent="0.55000000000000004">
      <c r="B2" s="52" t="s">
        <v>126</v>
      </c>
      <c r="C2" s="52" t="s">
        <v>127</v>
      </c>
      <c r="D2" s="52" t="s">
        <v>35</v>
      </c>
      <c r="E2" s="52" t="s">
        <v>34</v>
      </c>
      <c r="F2" s="52" t="s">
        <v>128</v>
      </c>
    </row>
    <row r="3" spans="2:6" x14ac:dyDescent="0.5">
      <c r="B3" s="53">
        <v>45662</v>
      </c>
      <c r="C3" s="54" t="s">
        <v>129</v>
      </c>
      <c r="D3" s="54" t="s">
        <v>8</v>
      </c>
      <c r="E3" s="54">
        <v>250</v>
      </c>
      <c r="F3" s="54" t="s">
        <v>130</v>
      </c>
    </row>
    <row r="4" spans="2:6" x14ac:dyDescent="0.5">
      <c r="B4" s="72">
        <v>45664</v>
      </c>
      <c r="C4" s="51" t="s">
        <v>129</v>
      </c>
      <c r="D4" s="51" t="s">
        <v>10</v>
      </c>
      <c r="E4" s="51">
        <v>180</v>
      </c>
      <c r="F4" s="51" t="s">
        <v>131</v>
      </c>
    </row>
    <row r="5" spans="2:6" x14ac:dyDescent="0.5">
      <c r="B5" s="72">
        <v>45667</v>
      </c>
      <c r="C5" s="51" t="s">
        <v>129</v>
      </c>
      <c r="D5" s="51" t="s">
        <v>4</v>
      </c>
      <c r="E5" s="51">
        <v>450</v>
      </c>
      <c r="F5" s="51" t="s">
        <v>132</v>
      </c>
    </row>
    <row r="6" spans="2:6" x14ac:dyDescent="0.5">
      <c r="B6" s="72">
        <v>45672</v>
      </c>
      <c r="C6" s="51" t="s">
        <v>112</v>
      </c>
      <c r="D6" s="51" t="s">
        <v>5</v>
      </c>
      <c r="E6" s="51">
        <v>520</v>
      </c>
      <c r="F6" s="51" t="s">
        <v>133</v>
      </c>
    </row>
    <row r="7" spans="2:6" x14ac:dyDescent="0.5">
      <c r="B7" s="72">
        <v>45673</v>
      </c>
      <c r="C7" s="51" t="s">
        <v>112</v>
      </c>
      <c r="D7" s="51" t="s">
        <v>7</v>
      </c>
      <c r="E7" s="51">
        <v>70</v>
      </c>
      <c r="F7" s="51" t="s">
        <v>134</v>
      </c>
    </row>
    <row r="8" spans="2:6" x14ac:dyDescent="0.5">
      <c r="B8" s="72">
        <v>45675</v>
      </c>
      <c r="C8" s="51" t="s">
        <v>112</v>
      </c>
      <c r="D8" s="51" t="s">
        <v>9</v>
      </c>
      <c r="E8" s="51">
        <v>85</v>
      </c>
      <c r="F8" s="51" t="s">
        <v>135</v>
      </c>
    </row>
    <row r="9" spans="2:6" x14ac:dyDescent="0.5">
      <c r="B9" s="72">
        <v>45677</v>
      </c>
      <c r="C9" s="51" t="s">
        <v>112</v>
      </c>
      <c r="D9" s="51" t="s">
        <v>11</v>
      </c>
      <c r="E9" s="51">
        <v>40</v>
      </c>
      <c r="F9" s="51" t="s">
        <v>136</v>
      </c>
    </row>
    <row r="10" spans="2:6" x14ac:dyDescent="0.5">
      <c r="B10" s="72">
        <v>45679</v>
      </c>
      <c r="C10" s="51" t="s">
        <v>112</v>
      </c>
      <c r="D10" s="51" t="s">
        <v>15</v>
      </c>
      <c r="E10" s="51">
        <v>26</v>
      </c>
      <c r="F10" s="51" t="s">
        <v>137</v>
      </c>
    </row>
    <row r="11" spans="2:6" x14ac:dyDescent="0.5">
      <c r="B11" s="72">
        <v>45682</v>
      </c>
      <c r="C11" s="51" t="s">
        <v>138</v>
      </c>
      <c r="D11" s="51" t="s">
        <v>26</v>
      </c>
      <c r="E11" s="51">
        <v>50</v>
      </c>
      <c r="F11" s="51" t="s">
        <v>139</v>
      </c>
    </row>
    <row r="12" spans="2:6" x14ac:dyDescent="0.5">
      <c r="B12" s="72">
        <v>45684</v>
      </c>
      <c r="C12" s="51" t="s">
        <v>21</v>
      </c>
      <c r="D12" s="51" t="s">
        <v>25</v>
      </c>
      <c r="E12" s="51">
        <v>2000</v>
      </c>
      <c r="F12" s="51" t="s">
        <v>140</v>
      </c>
    </row>
    <row r="13" spans="2:6" x14ac:dyDescent="0.5">
      <c r="B13" s="72">
        <v>45693</v>
      </c>
      <c r="C13" s="51" t="s">
        <v>129</v>
      </c>
      <c r="D13" s="51" t="s">
        <v>8</v>
      </c>
      <c r="E13" s="51">
        <v>250</v>
      </c>
      <c r="F13" s="51" t="s">
        <v>130</v>
      </c>
    </row>
    <row r="14" spans="2:6" x14ac:dyDescent="0.5">
      <c r="B14" s="72">
        <v>45695</v>
      </c>
      <c r="C14" s="51" t="s">
        <v>129</v>
      </c>
      <c r="D14" s="51" t="s">
        <v>10</v>
      </c>
      <c r="E14" s="51">
        <v>180</v>
      </c>
      <c r="F14" s="51" t="s">
        <v>131</v>
      </c>
    </row>
    <row r="15" spans="2:6" x14ac:dyDescent="0.5">
      <c r="B15" s="72">
        <v>45698</v>
      </c>
      <c r="C15" s="51" t="s">
        <v>129</v>
      </c>
      <c r="D15" s="51" t="s">
        <v>4</v>
      </c>
      <c r="E15" s="51">
        <v>450</v>
      </c>
      <c r="F15" s="51" t="s">
        <v>141</v>
      </c>
    </row>
    <row r="16" spans="2:6" x14ac:dyDescent="0.5">
      <c r="B16" s="72">
        <v>45700</v>
      </c>
      <c r="C16" s="51" t="s">
        <v>112</v>
      </c>
      <c r="D16" s="51" t="s">
        <v>5</v>
      </c>
      <c r="E16" s="51">
        <v>520</v>
      </c>
      <c r="F16" s="51" t="s">
        <v>142</v>
      </c>
    </row>
    <row r="17" spans="2:6" x14ac:dyDescent="0.5">
      <c r="B17" s="72">
        <v>45702</v>
      </c>
      <c r="C17" s="51" t="s">
        <v>112</v>
      </c>
      <c r="D17" s="51" t="s">
        <v>14</v>
      </c>
      <c r="E17" s="51">
        <v>32</v>
      </c>
      <c r="F17" s="51" t="s">
        <v>143</v>
      </c>
    </row>
    <row r="18" spans="2:6" x14ac:dyDescent="0.5">
      <c r="B18" s="72">
        <v>45705</v>
      </c>
      <c r="C18" s="51" t="s">
        <v>112</v>
      </c>
      <c r="D18" s="51" t="s">
        <v>9</v>
      </c>
      <c r="E18" s="51">
        <v>110</v>
      </c>
      <c r="F18" s="51" t="s">
        <v>135</v>
      </c>
    </row>
    <row r="19" spans="2:6" x14ac:dyDescent="0.5">
      <c r="B19" s="72">
        <v>45708</v>
      </c>
      <c r="C19" s="51" t="s">
        <v>112</v>
      </c>
      <c r="D19" s="51" t="s">
        <v>13</v>
      </c>
      <c r="E19" s="51">
        <v>28</v>
      </c>
      <c r="F19" s="51" t="s">
        <v>144</v>
      </c>
    </row>
    <row r="20" spans="2:6" x14ac:dyDescent="0.5">
      <c r="B20" s="72">
        <v>45711</v>
      </c>
      <c r="C20" s="51" t="s">
        <v>138</v>
      </c>
      <c r="D20" s="51" t="s">
        <v>29</v>
      </c>
      <c r="E20" s="51">
        <v>100</v>
      </c>
      <c r="F20" s="51" t="s">
        <v>145</v>
      </c>
    </row>
    <row r="21" spans="2:6" x14ac:dyDescent="0.5">
      <c r="B21" s="72">
        <v>45713</v>
      </c>
      <c r="C21" s="51" t="s">
        <v>21</v>
      </c>
      <c r="D21" s="51" t="s">
        <v>27</v>
      </c>
      <c r="E21" s="51">
        <v>40</v>
      </c>
      <c r="F21" s="51" t="s">
        <v>146</v>
      </c>
    </row>
    <row r="22" spans="2:6" x14ac:dyDescent="0.5">
      <c r="B22" s="72">
        <v>45722</v>
      </c>
      <c r="C22" s="51" t="s">
        <v>129</v>
      </c>
      <c r="D22" s="51" t="s">
        <v>4</v>
      </c>
      <c r="E22" s="51">
        <v>450</v>
      </c>
      <c r="F22" s="51" t="s">
        <v>147</v>
      </c>
    </row>
    <row r="23" spans="2:6" x14ac:dyDescent="0.5">
      <c r="B23" s="72">
        <v>45724</v>
      </c>
      <c r="C23" s="51" t="s">
        <v>129</v>
      </c>
      <c r="D23" s="51" t="s">
        <v>12</v>
      </c>
      <c r="E23" s="51">
        <v>120</v>
      </c>
      <c r="F23" s="51" t="s">
        <v>148</v>
      </c>
    </row>
    <row r="24" spans="2:6" x14ac:dyDescent="0.5">
      <c r="B24" s="72">
        <v>45728</v>
      </c>
      <c r="C24" s="51" t="s">
        <v>112</v>
      </c>
      <c r="D24" s="51" t="s">
        <v>5</v>
      </c>
      <c r="E24" s="51">
        <v>520</v>
      </c>
      <c r="F24" s="51" t="s">
        <v>149</v>
      </c>
    </row>
    <row r="25" spans="2:6" x14ac:dyDescent="0.5">
      <c r="B25" s="72">
        <v>45731</v>
      </c>
      <c r="C25" s="51" t="s">
        <v>112</v>
      </c>
      <c r="D25" s="51" t="s">
        <v>16</v>
      </c>
      <c r="E25" s="51">
        <v>95</v>
      </c>
      <c r="F25" s="51" t="s">
        <v>150</v>
      </c>
    </row>
    <row r="26" spans="2:6" x14ac:dyDescent="0.5">
      <c r="B26" s="72">
        <v>45733</v>
      </c>
      <c r="C26" s="51" t="s">
        <v>112</v>
      </c>
      <c r="D26" s="51" t="s">
        <v>9</v>
      </c>
      <c r="E26" s="51">
        <v>90</v>
      </c>
      <c r="F26" s="51" t="s">
        <v>135</v>
      </c>
    </row>
    <row r="27" spans="2:6" x14ac:dyDescent="0.5">
      <c r="B27" s="72">
        <v>45735</v>
      </c>
      <c r="C27" s="51" t="s">
        <v>112</v>
      </c>
      <c r="D27" s="51" t="s">
        <v>18</v>
      </c>
      <c r="E27" s="51">
        <v>45</v>
      </c>
      <c r="F27" s="51" t="s">
        <v>151</v>
      </c>
    </row>
    <row r="28" spans="2:6" x14ac:dyDescent="0.5">
      <c r="B28" s="72">
        <v>45738</v>
      </c>
      <c r="C28" s="51" t="s">
        <v>138</v>
      </c>
      <c r="D28" s="51" t="s">
        <v>26</v>
      </c>
      <c r="E28" s="51">
        <v>50</v>
      </c>
      <c r="F28" s="51" t="s">
        <v>139</v>
      </c>
    </row>
    <row r="29" spans="2:6" x14ac:dyDescent="0.5">
      <c r="B29" s="72">
        <v>45741</v>
      </c>
      <c r="C29" s="51" t="s">
        <v>21</v>
      </c>
      <c r="D29" s="51" t="s">
        <v>25</v>
      </c>
      <c r="E29" s="51">
        <v>80</v>
      </c>
      <c r="F29" s="51" t="s">
        <v>140</v>
      </c>
    </row>
    <row r="30" spans="2:6" x14ac:dyDescent="0.5">
      <c r="B30" s="72">
        <v>45752</v>
      </c>
      <c r="C30" s="51" t="s">
        <v>129</v>
      </c>
      <c r="D30" s="51" t="s">
        <v>8</v>
      </c>
      <c r="E30" s="51">
        <v>250</v>
      </c>
      <c r="F30" s="51" t="s">
        <v>130</v>
      </c>
    </row>
    <row r="31" spans="2:6" x14ac:dyDescent="0.5">
      <c r="B31" s="72">
        <v>45754</v>
      </c>
      <c r="C31" s="51" t="s">
        <v>129</v>
      </c>
      <c r="D31" s="51" t="s">
        <v>10</v>
      </c>
      <c r="E31" s="51">
        <v>180</v>
      </c>
      <c r="F31" s="51" t="s">
        <v>131</v>
      </c>
    </row>
    <row r="32" spans="2:6" x14ac:dyDescent="0.5">
      <c r="B32" s="72">
        <v>45757</v>
      </c>
      <c r="C32" s="51" t="s">
        <v>129</v>
      </c>
      <c r="D32" s="51" t="s">
        <v>4</v>
      </c>
      <c r="E32" s="51">
        <v>450</v>
      </c>
      <c r="F32" s="51" t="s">
        <v>152</v>
      </c>
    </row>
    <row r="33" spans="2:6" x14ac:dyDescent="0.5">
      <c r="B33" s="72">
        <v>45760</v>
      </c>
      <c r="C33" s="51" t="s">
        <v>112</v>
      </c>
      <c r="D33" s="51" t="s">
        <v>5</v>
      </c>
      <c r="E33" s="51">
        <v>520</v>
      </c>
      <c r="F33" s="51" t="s">
        <v>153</v>
      </c>
    </row>
    <row r="34" spans="2:6" x14ac:dyDescent="0.5">
      <c r="B34" s="72">
        <v>45763</v>
      </c>
      <c r="C34" s="51" t="s">
        <v>112</v>
      </c>
      <c r="D34" s="51" t="s">
        <v>9</v>
      </c>
      <c r="E34" s="51">
        <v>105</v>
      </c>
      <c r="F34" s="51" t="s">
        <v>135</v>
      </c>
    </row>
    <row r="35" spans="2:6" x14ac:dyDescent="0.5">
      <c r="B35" s="72">
        <v>45765</v>
      </c>
      <c r="C35" s="51" t="s">
        <v>112</v>
      </c>
      <c r="D35" s="51" t="s">
        <v>14</v>
      </c>
      <c r="E35" s="51">
        <v>48</v>
      </c>
      <c r="F35" s="51" t="s">
        <v>154</v>
      </c>
    </row>
    <row r="36" spans="2:6" x14ac:dyDescent="0.5">
      <c r="B36" s="72">
        <v>45767</v>
      </c>
      <c r="C36" s="51" t="s">
        <v>112</v>
      </c>
      <c r="D36" s="51" t="s">
        <v>15</v>
      </c>
      <c r="E36" s="51">
        <v>26</v>
      </c>
      <c r="F36" s="51" t="s">
        <v>155</v>
      </c>
    </row>
    <row r="37" spans="2:6" x14ac:dyDescent="0.5">
      <c r="B37" s="72">
        <v>45771</v>
      </c>
      <c r="C37" s="51" t="s">
        <v>138</v>
      </c>
      <c r="D37" s="51" t="s">
        <v>28</v>
      </c>
      <c r="E37" s="51">
        <v>40</v>
      </c>
      <c r="F37" s="51" t="s">
        <v>156</v>
      </c>
    </row>
    <row r="38" spans="2:6" x14ac:dyDescent="0.5">
      <c r="B38" s="72">
        <v>45787</v>
      </c>
      <c r="C38" s="51" t="s">
        <v>129</v>
      </c>
      <c r="D38" s="51" t="s">
        <v>6</v>
      </c>
      <c r="E38" s="51">
        <v>900</v>
      </c>
      <c r="F38" s="51" t="s">
        <v>157</v>
      </c>
    </row>
    <row r="39" spans="2:6" x14ac:dyDescent="0.5">
      <c r="B39" s="72">
        <v>45789</v>
      </c>
      <c r="C39" s="51" t="s">
        <v>112</v>
      </c>
      <c r="D39" s="51" t="s">
        <v>5</v>
      </c>
      <c r="E39" s="51">
        <v>520</v>
      </c>
      <c r="F39" s="51" t="s">
        <v>158</v>
      </c>
    </row>
    <row r="40" spans="2:6" x14ac:dyDescent="0.5">
      <c r="B40" s="72">
        <v>45791</v>
      </c>
      <c r="C40" s="51" t="s">
        <v>112</v>
      </c>
      <c r="D40" s="51" t="s">
        <v>11</v>
      </c>
      <c r="E40" s="51">
        <v>40</v>
      </c>
      <c r="F40" s="51" t="s">
        <v>136</v>
      </c>
    </row>
    <row r="41" spans="2:6" x14ac:dyDescent="0.5">
      <c r="B41" s="72">
        <v>45793</v>
      </c>
      <c r="C41" s="51" t="s">
        <v>112</v>
      </c>
      <c r="D41" s="51" t="s">
        <v>9</v>
      </c>
      <c r="E41" s="51">
        <v>120</v>
      </c>
      <c r="F41" s="51" t="s">
        <v>135</v>
      </c>
    </row>
    <row r="42" spans="2:6" x14ac:dyDescent="0.5">
      <c r="B42" s="72">
        <v>45795</v>
      </c>
      <c r="C42" s="51" t="s">
        <v>112</v>
      </c>
      <c r="D42" s="51" t="s">
        <v>18</v>
      </c>
      <c r="E42" s="51">
        <v>60</v>
      </c>
      <c r="F42" s="51" t="s">
        <v>159</v>
      </c>
    </row>
    <row r="43" spans="2:6" x14ac:dyDescent="0.5">
      <c r="B43" s="72">
        <v>45799</v>
      </c>
      <c r="C43" s="51" t="s">
        <v>138</v>
      </c>
      <c r="D43" s="51" t="s">
        <v>29</v>
      </c>
      <c r="E43" s="51">
        <v>200</v>
      </c>
      <c r="F43" s="51" t="s">
        <v>160</v>
      </c>
    </row>
    <row r="44" spans="2:6" x14ac:dyDescent="0.5">
      <c r="B44" s="72">
        <v>45802</v>
      </c>
      <c r="C44" s="51" t="s">
        <v>21</v>
      </c>
      <c r="D44" s="51" t="s">
        <v>27</v>
      </c>
      <c r="E44" s="51">
        <v>40</v>
      </c>
      <c r="F44" s="51" t="s">
        <v>146</v>
      </c>
    </row>
    <row r="45" spans="2:6" x14ac:dyDescent="0.5">
      <c r="B45" s="72">
        <v>45818</v>
      </c>
      <c r="C45" s="51" t="s">
        <v>129</v>
      </c>
      <c r="D45" s="51" t="s">
        <v>6</v>
      </c>
      <c r="E45" s="51">
        <v>900</v>
      </c>
      <c r="F45" s="51" t="s">
        <v>157</v>
      </c>
    </row>
    <row r="46" spans="2:6" x14ac:dyDescent="0.5">
      <c r="B46" s="72">
        <v>45820</v>
      </c>
      <c r="C46" s="51" t="s">
        <v>112</v>
      </c>
      <c r="D46" s="51" t="s">
        <v>5</v>
      </c>
      <c r="E46" s="51">
        <v>520</v>
      </c>
      <c r="F46" s="51" t="s">
        <v>161</v>
      </c>
    </row>
    <row r="47" spans="2:6" x14ac:dyDescent="0.5">
      <c r="B47" s="72">
        <v>45823</v>
      </c>
      <c r="C47" s="51" t="s">
        <v>112</v>
      </c>
      <c r="D47" s="51" t="s">
        <v>16</v>
      </c>
      <c r="E47" s="51">
        <v>130</v>
      </c>
      <c r="F47" s="51" t="s">
        <v>162</v>
      </c>
    </row>
    <row r="48" spans="2:6" x14ac:dyDescent="0.5">
      <c r="B48" s="72">
        <v>45825</v>
      </c>
      <c r="C48" s="51" t="s">
        <v>112</v>
      </c>
      <c r="D48" s="51" t="s">
        <v>9</v>
      </c>
      <c r="E48" s="51">
        <v>115</v>
      </c>
      <c r="F48" s="51" t="s">
        <v>135</v>
      </c>
    </row>
    <row r="49" spans="2:6" x14ac:dyDescent="0.5">
      <c r="B49" s="72">
        <v>45828</v>
      </c>
      <c r="C49" s="51" t="s">
        <v>138</v>
      </c>
      <c r="D49" s="51" t="s">
        <v>30</v>
      </c>
      <c r="E49" s="51">
        <v>150</v>
      </c>
      <c r="F49" s="51" t="s">
        <v>163</v>
      </c>
    </row>
    <row r="50" spans="2:6" x14ac:dyDescent="0.5">
      <c r="B50" s="72">
        <v>45848</v>
      </c>
      <c r="C50" s="51" t="s">
        <v>129</v>
      </c>
      <c r="D50" s="51" t="s">
        <v>6</v>
      </c>
      <c r="E50" s="51">
        <v>900</v>
      </c>
      <c r="F50" s="51" t="s">
        <v>157</v>
      </c>
    </row>
    <row r="51" spans="2:6" x14ac:dyDescent="0.5">
      <c r="B51" s="72">
        <v>45850</v>
      </c>
      <c r="C51" s="51" t="s">
        <v>112</v>
      </c>
      <c r="D51" s="51" t="s">
        <v>5</v>
      </c>
      <c r="E51" s="51">
        <v>520</v>
      </c>
      <c r="F51" s="51" t="s">
        <v>164</v>
      </c>
    </row>
    <row r="52" spans="2:6" x14ac:dyDescent="0.5">
      <c r="B52" s="72">
        <v>45852</v>
      </c>
      <c r="C52" s="51" t="s">
        <v>112</v>
      </c>
      <c r="D52" s="51" t="s">
        <v>14</v>
      </c>
      <c r="E52" s="51">
        <v>75</v>
      </c>
      <c r="F52" s="51" t="s">
        <v>165</v>
      </c>
    </row>
    <row r="53" spans="2:6" x14ac:dyDescent="0.5">
      <c r="B53" s="72">
        <v>45855</v>
      </c>
      <c r="C53" s="51" t="s">
        <v>112</v>
      </c>
      <c r="D53" s="51" t="s">
        <v>18</v>
      </c>
      <c r="E53" s="51">
        <v>80</v>
      </c>
      <c r="F53" s="51" t="s">
        <v>166</v>
      </c>
    </row>
    <row r="54" spans="2:6" x14ac:dyDescent="0.5">
      <c r="B54" s="72">
        <v>45858</v>
      </c>
      <c r="C54" s="51" t="s">
        <v>138</v>
      </c>
      <c r="D54" s="51" t="s">
        <v>28</v>
      </c>
      <c r="E54" s="51">
        <v>120</v>
      </c>
      <c r="F54" s="51" t="s">
        <v>167</v>
      </c>
    </row>
    <row r="55" spans="2:6" x14ac:dyDescent="0.5">
      <c r="B55" s="72">
        <v>45879</v>
      </c>
      <c r="C55" s="51" t="s">
        <v>129</v>
      </c>
      <c r="D55" s="51" t="s">
        <v>6</v>
      </c>
      <c r="E55" s="51">
        <v>900</v>
      </c>
      <c r="F55" s="51" t="s">
        <v>157</v>
      </c>
    </row>
    <row r="56" spans="2:6" x14ac:dyDescent="0.5">
      <c r="B56" s="72">
        <v>45881</v>
      </c>
      <c r="C56" s="51" t="s">
        <v>112</v>
      </c>
      <c r="D56" s="51" t="s">
        <v>5</v>
      </c>
      <c r="E56" s="51">
        <v>520</v>
      </c>
      <c r="F56" s="51" t="s">
        <v>168</v>
      </c>
    </row>
    <row r="57" spans="2:6" x14ac:dyDescent="0.5">
      <c r="B57" s="72">
        <v>45884</v>
      </c>
      <c r="C57" s="51" t="s">
        <v>112</v>
      </c>
      <c r="D57" s="51" t="s">
        <v>9</v>
      </c>
      <c r="E57" s="51">
        <v>100</v>
      </c>
      <c r="F57" s="51" t="s">
        <v>135</v>
      </c>
    </row>
    <row r="58" spans="2:6" x14ac:dyDescent="0.5">
      <c r="B58" s="72">
        <v>45887</v>
      </c>
      <c r="C58" s="51" t="s">
        <v>112</v>
      </c>
      <c r="D58" s="51" t="s">
        <v>11</v>
      </c>
      <c r="E58" s="51">
        <v>40</v>
      </c>
      <c r="F58" s="51" t="s">
        <v>136</v>
      </c>
    </row>
    <row r="59" spans="2:6" x14ac:dyDescent="0.5">
      <c r="B59" s="72">
        <v>45891</v>
      </c>
      <c r="C59" s="51" t="s">
        <v>138</v>
      </c>
      <c r="D59" s="51" t="s">
        <v>26</v>
      </c>
      <c r="E59" s="51">
        <v>100</v>
      </c>
      <c r="F59" s="51" t="s">
        <v>169</v>
      </c>
    </row>
    <row r="60" spans="2:6" x14ac:dyDescent="0.5">
      <c r="B60" s="72">
        <v>45906</v>
      </c>
      <c r="C60" s="51" t="s">
        <v>129</v>
      </c>
      <c r="D60" s="51" t="s">
        <v>4</v>
      </c>
      <c r="E60" s="51">
        <v>450</v>
      </c>
      <c r="F60" s="51" t="s">
        <v>170</v>
      </c>
    </row>
    <row r="61" spans="2:6" x14ac:dyDescent="0.5">
      <c r="B61" s="72">
        <v>45908</v>
      </c>
      <c r="C61" s="51" t="s">
        <v>129</v>
      </c>
      <c r="D61" s="51" t="s">
        <v>10</v>
      </c>
      <c r="E61" s="51">
        <v>180</v>
      </c>
      <c r="F61" s="51" t="s">
        <v>131</v>
      </c>
    </row>
    <row r="62" spans="2:6" x14ac:dyDescent="0.5">
      <c r="B62" s="72">
        <v>45912</v>
      </c>
      <c r="C62" s="51" t="s">
        <v>112</v>
      </c>
      <c r="D62" s="51" t="s">
        <v>5</v>
      </c>
      <c r="E62" s="51">
        <v>520</v>
      </c>
      <c r="F62" s="51" t="s">
        <v>171</v>
      </c>
    </row>
    <row r="63" spans="2:6" x14ac:dyDescent="0.5">
      <c r="B63" s="72">
        <v>45915</v>
      </c>
      <c r="C63" s="51" t="s">
        <v>112</v>
      </c>
      <c r="D63" s="51" t="s">
        <v>16</v>
      </c>
      <c r="E63" s="51">
        <v>90</v>
      </c>
      <c r="F63" s="51" t="s">
        <v>172</v>
      </c>
    </row>
    <row r="64" spans="2:6" x14ac:dyDescent="0.5">
      <c r="B64" s="72">
        <v>45918</v>
      </c>
      <c r="C64" s="51" t="s">
        <v>112</v>
      </c>
      <c r="D64" s="51" t="s">
        <v>9</v>
      </c>
      <c r="E64" s="51">
        <v>110</v>
      </c>
      <c r="F64" s="51" t="s">
        <v>135</v>
      </c>
    </row>
    <row r="65" spans="2:6" x14ac:dyDescent="0.5">
      <c r="B65" s="72">
        <v>45922</v>
      </c>
      <c r="C65" s="51" t="s">
        <v>138</v>
      </c>
      <c r="D65" s="51" t="s">
        <v>29</v>
      </c>
      <c r="E65" s="51">
        <v>100</v>
      </c>
      <c r="F65" s="51" t="s">
        <v>145</v>
      </c>
    </row>
    <row r="66" spans="2:6" x14ac:dyDescent="0.5">
      <c r="B66" s="72">
        <v>45935</v>
      </c>
      <c r="C66" s="51" t="s">
        <v>129</v>
      </c>
      <c r="D66" s="51" t="s">
        <v>8</v>
      </c>
      <c r="E66" s="51">
        <v>250</v>
      </c>
      <c r="F66" s="51" t="s">
        <v>130</v>
      </c>
    </row>
    <row r="67" spans="2:6" x14ac:dyDescent="0.5">
      <c r="B67" s="72">
        <v>45940</v>
      </c>
      <c r="C67" s="51" t="s">
        <v>129</v>
      </c>
      <c r="D67" s="51" t="s">
        <v>4</v>
      </c>
      <c r="E67" s="51">
        <v>450</v>
      </c>
      <c r="F67" s="51" t="s">
        <v>173</v>
      </c>
    </row>
    <row r="68" spans="2:6" x14ac:dyDescent="0.5">
      <c r="B68" s="72">
        <v>45942</v>
      </c>
      <c r="C68" s="51" t="s">
        <v>112</v>
      </c>
      <c r="D68" s="51" t="s">
        <v>5</v>
      </c>
      <c r="E68" s="51">
        <v>520</v>
      </c>
      <c r="F68" s="51" t="s">
        <v>174</v>
      </c>
    </row>
    <row r="69" spans="2:6" x14ac:dyDescent="0.5">
      <c r="B69" s="72">
        <v>45945</v>
      </c>
      <c r="C69" s="51" t="s">
        <v>112</v>
      </c>
      <c r="D69" s="51" t="s">
        <v>13</v>
      </c>
      <c r="E69" s="51">
        <v>35</v>
      </c>
      <c r="F69" s="51" t="s">
        <v>175</v>
      </c>
    </row>
    <row r="70" spans="2:6" x14ac:dyDescent="0.5">
      <c r="B70" s="72">
        <v>45950</v>
      </c>
      <c r="C70" s="51" t="s">
        <v>138</v>
      </c>
      <c r="D70" s="51" t="s">
        <v>26</v>
      </c>
      <c r="E70" s="51">
        <v>50</v>
      </c>
      <c r="F70" s="51" t="s">
        <v>139</v>
      </c>
    </row>
    <row r="71" spans="2:6" x14ac:dyDescent="0.5">
      <c r="B71" s="72">
        <v>45968</v>
      </c>
      <c r="C71" s="51" t="s">
        <v>129</v>
      </c>
      <c r="D71" s="51" t="s">
        <v>10</v>
      </c>
      <c r="E71" s="51">
        <v>180</v>
      </c>
      <c r="F71" s="51" t="s">
        <v>131</v>
      </c>
    </row>
    <row r="72" spans="2:6" x14ac:dyDescent="0.5">
      <c r="B72" s="72">
        <v>45971</v>
      </c>
      <c r="C72" s="51" t="s">
        <v>129</v>
      </c>
      <c r="D72" s="51" t="s">
        <v>4</v>
      </c>
      <c r="E72" s="51">
        <v>450</v>
      </c>
      <c r="F72" s="51" t="s">
        <v>176</v>
      </c>
    </row>
    <row r="73" spans="2:6" x14ac:dyDescent="0.5">
      <c r="B73" s="72">
        <v>45973</v>
      </c>
      <c r="C73" s="51" t="s">
        <v>112</v>
      </c>
      <c r="D73" s="51" t="s">
        <v>5</v>
      </c>
      <c r="E73" s="51">
        <v>520</v>
      </c>
      <c r="F73" s="51" t="s">
        <v>177</v>
      </c>
    </row>
    <row r="74" spans="2:6" x14ac:dyDescent="0.5">
      <c r="B74" s="72">
        <v>45976</v>
      </c>
      <c r="C74" s="51" t="s">
        <v>112</v>
      </c>
      <c r="D74" s="51" t="s">
        <v>14</v>
      </c>
      <c r="E74" s="51">
        <v>55</v>
      </c>
      <c r="F74" s="51" t="s">
        <v>154</v>
      </c>
    </row>
    <row r="75" spans="2:6" x14ac:dyDescent="0.5">
      <c r="B75" s="72">
        <v>45983</v>
      </c>
      <c r="C75" s="51" t="s">
        <v>21</v>
      </c>
      <c r="D75" s="51" t="s">
        <v>25</v>
      </c>
      <c r="E75" s="51">
        <v>80</v>
      </c>
      <c r="F75" s="51" t="s">
        <v>140</v>
      </c>
    </row>
    <row r="76" spans="2:6" x14ac:dyDescent="0.5">
      <c r="B76" s="72">
        <v>45996</v>
      </c>
      <c r="C76" s="51" t="s">
        <v>129</v>
      </c>
      <c r="D76" s="51" t="s">
        <v>8</v>
      </c>
      <c r="E76" s="51">
        <v>250</v>
      </c>
      <c r="F76" s="51" t="s">
        <v>130</v>
      </c>
    </row>
    <row r="77" spans="2:6" x14ac:dyDescent="0.5">
      <c r="B77" s="72">
        <v>46001</v>
      </c>
      <c r="C77" s="51" t="s">
        <v>129</v>
      </c>
      <c r="D77" s="51" t="s">
        <v>4</v>
      </c>
      <c r="E77" s="51">
        <v>450</v>
      </c>
      <c r="F77" s="51" t="s">
        <v>178</v>
      </c>
    </row>
    <row r="78" spans="2:6" x14ac:dyDescent="0.5">
      <c r="B78" s="72">
        <v>46003</v>
      </c>
      <c r="C78" s="51" t="s">
        <v>112</v>
      </c>
      <c r="D78" s="51" t="s">
        <v>5</v>
      </c>
      <c r="E78" s="51">
        <v>520</v>
      </c>
      <c r="F78" s="51" t="s">
        <v>179</v>
      </c>
    </row>
    <row r="79" spans="2:6" x14ac:dyDescent="0.5">
      <c r="B79" s="72">
        <v>46006</v>
      </c>
      <c r="C79" s="51" t="s">
        <v>112</v>
      </c>
      <c r="D79" s="51" t="s">
        <v>16</v>
      </c>
      <c r="E79" s="51">
        <v>180</v>
      </c>
      <c r="F79" s="51" t="s">
        <v>180</v>
      </c>
    </row>
    <row r="80" spans="2:6" x14ac:dyDescent="0.5">
      <c r="B80" s="72">
        <v>46009</v>
      </c>
      <c r="C80" s="51" t="s">
        <v>112</v>
      </c>
      <c r="D80" s="51" t="s">
        <v>18</v>
      </c>
      <c r="E80" s="51">
        <v>95</v>
      </c>
      <c r="F80" s="51" t="s">
        <v>181</v>
      </c>
    </row>
    <row r="81" spans="2:6" x14ac:dyDescent="0.5">
      <c r="B81" s="72">
        <v>46013</v>
      </c>
      <c r="C81" s="51" t="s">
        <v>138</v>
      </c>
      <c r="D81" s="51" t="s">
        <v>30</v>
      </c>
      <c r="E81" s="51">
        <v>200</v>
      </c>
      <c r="F81" s="51" t="s">
        <v>163</v>
      </c>
    </row>
    <row r="82" spans="2:6" x14ac:dyDescent="0.5">
      <c r="B82" s="53">
        <v>46014</v>
      </c>
      <c r="C82" s="54" t="s">
        <v>138</v>
      </c>
      <c r="D82" s="54" t="s">
        <v>30</v>
      </c>
      <c r="E82" s="54">
        <v>77</v>
      </c>
      <c r="F82" s="54" t="s">
        <v>182</v>
      </c>
    </row>
    <row r="83" spans="2:6" x14ac:dyDescent="0.5">
      <c r="B83" s="53">
        <v>46380</v>
      </c>
      <c r="C83" s="54" t="s">
        <v>138</v>
      </c>
      <c r="D83" s="54" t="s">
        <v>29</v>
      </c>
      <c r="E83" s="54">
        <v>100</v>
      </c>
      <c r="F83" s="54"/>
    </row>
    <row r="84" spans="2:6" x14ac:dyDescent="0.5">
      <c r="B84" s="53">
        <v>46047</v>
      </c>
      <c r="C84" s="54" t="s">
        <v>138</v>
      </c>
      <c r="D84" s="54" t="s">
        <v>29</v>
      </c>
      <c r="E84" s="54">
        <v>500</v>
      </c>
      <c r="F84" s="54"/>
    </row>
    <row r="85" spans="2:6" x14ac:dyDescent="0.5">
      <c r="B85" s="53">
        <v>46051</v>
      </c>
      <c r="C85" s="54" t="s">
        <v>112</v>
      </c>
      <c r="D85" s="54" t="s">
        <v>11</v>
      </c>
      <c r="E85" s="54">
        <v>1000</v>
      </c>
      <c r="F85" s="54"/>
    </row>
  </sheetData>
  <conditionalFormatting sqref="E3:E85">
    <cfRule type="expression" dxfId="129" priority="5">
      <formula>Currency="¥"</formula>
    </cfRule>
    <cfRule type="expression" dxfId="128" priority="6">
      <formula>Currency="£"</formula>
    </cfRule>
    <cfRule type="expression" dxfId="127" priority="7">
      <formula>Currency="$"</formula>
    </cfRule>
    <cfRule type="expression" dxfId="126" priority="8">
      <formula>Currency="€"</formula>
    </cfRule>
  </conditionalFormatting>
  <conditionalFormatting sqref="C3:C85">
    <cfRule type="containsText" dxfId="125" priority="1" operator="containsText" text="Savings_Investments">
      <formula>NOT(ISERROR(SEARCH("Savings_Investments",C3)))</formula>
    </cfRule>
    <cfRule type="containsText" dxfId="124" priority="2" operator="containsText" text="Debt">
      <formula>NOT(ISERROR(SEARCH("Debt",C3)))</formula>
    </cfRule>
    <cfRule type="containsText" dxfId="123" priority="3" operator="containsText" text="Expenses">
      <formula>NOT(ISERROR(SEARCH("Expenses",C3)))</formula>
    </cfRule>
    <cfRule type="containsText" dxfId="122" priority="4" operator="containsText" text="Income">
      <formula>NOT(ISERROR(SEARCH("Income",C3)))</formula>
    </cfRule>
  </conditionalFormatting>
  <dataValidations count="3">
    <dataValidation type="list" allowBlank="1" showInputMessage="1" showErrorMessage="1" sqref="C3:C85" xr:uid="{A3356B0D-4874-4DF9-8D09-BC9672A4890E}">
      <formula1>"Income, Expenses, Debt, Savings_Investments"</formula1>
    </dataValidation>
    <dataValidation type="list" allowBlank="1" showInputMessage="1" showErrorMessage="1" sqref="D3:D85" xr:uid="{4B13B4FB-4886-4B1D-BEC8-E542D9BD462D}">
      <formula1>INDIRECT($C3)</formula1>
    </dataValidation>
    <dataValidation type="date" allowBlank="1" showInputMessage="1" showErrorMessage="1" promptTitle="Date restriction" prompt="Enter date within selected year (dd/mm/yy)" sqref="B3:B85" xr:uid="{BCDED5F5-A872-4FE9-8289-81BC78CDC6CB}">
      <formula1>DATE(Year, 1, 1)</formula1>
      <formula2>DATE(Year, 12, 31)</formula2>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306F-06F3-442E-85A6-741B649555EC}">
  <sheetPr codeName="Sheet5">
    <tabColor theme="0" tint="-0.499984740745262"/>
  </sheetPr>
  <dimension ref="B1:AC122"/>
  <sheetViews>
    <sheetView showGridLines="0" showRowColHeaders="0" tabSelected="1" zoomScale="67" zoomScaleNormal="67" workbookViewId="0">
      <selection activeCell="T92" sqref="T92"/>
      <extLst>
        <ext xmlns:xlsdti="http://schemas.microsoft.com/office/spreadsheetml/2023/showDataTypeIcons" uri="{77bfe23e-c014-4d31-8a63-9c772dbf06b6}">
          <xlsdti:showDataTypeIcons visible="0"/>
        </ext>
      </extLst>
    </sheetView>
  </sheetViews>
  <sheetFormatPr defaultColWidth="9" defaultRowHeight="14.25" x14ac:dyDescent="0.45"/>
  <cols>
    <col min="1" max="1" width="9" style="58" customWidth="1"/>
    <col min="2" max="2" width="2.59765625" style="58" customWidth="1"/>
    <col min="3" max="3" width="18.59765625" style="58" customWidth="1"/>
    <col min="4" max="4" width="8.1328125" style="58" customWidth="1"/>
    <col min="5" max="5" width="9.73046875" style="58" customWidth="1"/>
    <col min="6" max="6" width="8.265625" style="58" customWidth="1"/>
    <col min="7" max="7" width="3.3984375" style="58" customWidth="1"/>
    <col min="8" max="8" width="5.265625" style="58" customWidth="1"/>
    <col min="9" max="27" width="10.59765625" style="58" customWidth="1"/>
    <col min="28" max="28" width="9" style="58"/>
    <col min="29" max="29" width="2" style="58" customWidth="1"/>
    <col min="30" max="16384" width="9" style="58"/>
  </cols>
  <sheetData>
    <row r="1" spans="2:29" ht="20.100000000000001" customHeight="1" x14ac:dyDescent="0.45"/>
    <row r="2" spans="2:29" ht="20.100000000000001" customHeight="1" x14ac:dyDescent="0.45"/>
    <row r="3" spans="2:29" ht="20.100000000000001" customHeight="1" x14ac:dyDescent="0.45"/>
    <row r="4" spans="2:29" ht="20.100000000000001" customHeight="1" x14ac:dyDescent="0.45"/>
    <row r="5" spans="2:29" ht="20.100000000000001" customHeight="1" x14ac:dyDescent="0.45"/>
    <row r="6" spans="2:29" ht="20.100000000000001" customHeight="1" x14ac:dyDescent="0.5">
      <c r="I6" s="111">
        <f>Backend!AG25</f>
        <v>0.31682837069253933</v>
      </c>
      <c r="J6" s="111"/>
      <c r="K6" s="111"/>
      <c r="L6" s="111"/>
      <c r="N6" s="111">
        <f>Backend!AH25</f>
        <v>0.88583049564888383</v>
      </c>
      <c r="O6" s="111"/>
      <c r="P6" s="111"/>
      <c r="Q6" s="111"/>
      <c r="S6" s="111">
        <f>Backend!AI25</f>
        <v>1.9649122807017543</v>
      </c>
      <c r="T6" s="111"/>
      <c r="U6" s="111"/>
      <c r="V6" s="111"/>
      <c r="X6" s="111">
        <f>Backend!AJ25</f>
        <v>0.22848258706467661</v>
      </c>
      <c r="Y6" s="111"/>
      <c r="Z6" s="111"/>
      <c r="AA6" s="111"/>
    </row>
    <row r="7" spans="2:29" ht="20.100000000000001" customHeight="1" x14ac:dyDescent="0.45"/>
    <row r="8" spans="2:29" ht="20.100000000000001" customHeight="1" x14ac:dyDescent="0.45"/>
    <row r="9" spans="2:29" ht="20.100000000000001" customHeight="1" x14ac:dyDescent="0.45"/>
    <row r="10" spans="2:29" ht="20.100000000000001" customHeight="1" x14ac:dyDescent="0.45"/>
    <row r="11" spans="2:29" ht="20.100000000000001" customHeight="1" x14ac:dyDescent="0.45"/>
    <row r="12" spans="2:29" ht="20.100000000000001" customHeight="1" x14ac:dyDescent="0.45"/>
    <row r="13" spans="2:29" ht="20.100000000000001" customHeight="1" x14ac:dyDescent="0.45"/>
    <row r="14" spans="2:29" ht="20.100000000000001" customHeight="1" x14ac:dyDescent="0.45"/>
    <row r="15" spans="2:29" ht="20.100000000000001" customHeight="1" x14ac:dyDescent="0.45">
      <c r="B15" s="59"/>
      <c r="C15" s="59"/>
      <c r="D15" s="59"/>
      <c r="E15" s="59"/>
      <c r="F15" s="59"/>
      <c r="G15" s="60"/>
      <c r="H15" s="60"/>
      <c r="I15" s="60"/>
      <c r="J15" s="60"/>
      <c r="K15" s="60"/>
      <c r="L15" s="60"/>
      <c r="M15" s="60"/>
      <c r="N15" s="60"/>
      <c r="O15" s="60"/>
      <c r="P15" s="60"/>
      <c r="Q15" s="60"/>
      <c r="R15" s="60"/>
      <c r="S15" s="60"/>
      <c r="T15" s="60"/>
      <c r="U15" s="60"/>
      <c r="V15" s="60"/>
      <c r="W15" s="60"/>
      <c r="X15" s="60"/>
      <c r="Y15" s="60"/>
      <c r="Z15" s="60"/>
      <c r="AA15" s="60"/>
      <c r="AB15" s="60"/>
      <c r="AC15" s="60"/>
    </row>
    <row r="16" spans="2:29" ht="15.75" x14ac:dyDescent="0.5">
      <c r="B16" s="59"/>
      <c r="C16" s="114" t="s">
        <v>35</v>
      </c>
      <c r="D16" s="115" t="s">
        <v>183</v>
      </c>
      <c r="E16" s="115" t="s">
        <v>184</v>
      </c>
      <c r="F16" s="115" t="s">
        <v>185</v>
      </c>
      <c r="G16" s="60"/>
      <c r="H16" s="60"/>
      <c r="I16" s="112"/>
      <c r="J16" s="112"/>
      <c r="K16" s="112"/>
      <c r="L16" s="60"/>
      <c r="M16" s="112"/>
      <c r="N16" s="112"/>
      <c r="O16" s="112"/>
      <c r="P16" s="60"/>
      <c r="Q16" s="60"/>
      <c r="R16" s="60"/>
      <c r="S16" s="60"/>
      <c r="T16" s="60"/>
      <c r="U16" s="112"/>
      <c r="V16" s="112"/>
      <c r="W16" s="60"/>
      <c r="X16" s="60"/>
      <c r="Y16" s="60"/>
      <c r="Z16" s="60"/>
      <c r="AA16" s="60"/>
      <c r="AB16" s="60"/>
      <c r="AC16" s="60"/>
    </row>
    <row r="17" spans="2:29" x14ac:dyDescent="0.45">
      <c r="B17" s="59"/>
      <c r="C17" s="114" t="s">
        <v>10</v>
      </c>
      <c r="D17" s="116">
        <v>11400</v>
      </c>
      <c r="E17" s="116">
        <v>900</v>
      </c>
      <c r="F17" s="116">
        <v>10500</v>
      </c>
      <c r="G17" s="60"/>
      <c r="H17" s="60"/>
      <c r="I17" s="60"/>
      <c r="J17" s="60"/>
      <c r="K17" s="60"/>
      <c r="L17" s="60"/>
      <c r="M17" s="60"/>
      <c r="N17" s="60"/>
      <c r="O17" s="60"/>
      <c r="P17" s="60"/>
      <c r="Q17" s="60"/>
      <c r="R17" s="60"/>
      <c r="S17" s="60"/>
      <c r="T17" s="60"/>
      <c r="U17" s="60"/>
      <c r="V17" s="60"/>
      <c r="W17" s="60"/>
      <c r="X17" s="60"/>
      <c r="Y17" s="60"/>
      <c r="Z17" s="60"/>
      <c r="AA17" s="60"/>
      <c r="AB17" s="60"/>
      <c r="AC17" s="60"/>
    </row>
    <row r="18" spans="2:29" x14ac:dyDescent="0.45">
      <c r="B18" s="59"/>
      <c r="C18" s="114" t="s">
        <v>8</v>
      </c>
      <c r="D18" s="116">
        <v>240</v>
      </c>
      <c r="E18" s="116">
        <v>1250</v>
      </c>
      <c r="F18" s="116">
        <v>-1010</v>
      </c>
      <c r="G18" s="60"/>
      <c r="H18" s="60"/>
      <c r="I18" s="60"/>
      <c r="J18" s="60"/>
      <c r="K18" s="60"/>
      <c r="L18" s="60"/>
      <c r="M18" s="60"/>
      <c r="N18" s="60"/>
      <c r="O18" s="60"/>
      <c r="P18" s="60"/>
      <c r="Q18" s="60"/>
      <c r="R18" s="60"/>
      <c r="S18" s="60"/>
      <c r="T18" s="60"/>
      <c r="U18" s="60"/>
      <c r="V18" s="60"/>
      <c r="W18" s="60"/>
      <c r="X18" s="60"/>
      <c r="Y18" s="60"/>
      <c r="Z18" s="60"/>
      <c r="AA18" s="60"/>
      <c r="AB18" s="60"/>
      <c r="AC18" s="60"/>
    </row>
    <row r="19" spans="2:29" x14ac:dyDescent="0.45">
      <c r="B19" s="59"/>
      <c r="C19" s="114" t="s">
        <v>6</v>
      </c>
      <c r="D19" s="116">
        <v>12000</v>
      </c>
      <c r="E19" s="116">
        <v>3600</v>
      </c>
      <c r="F19" s="116">
        <v>8400</v>
      </c>
      <c r="G19" s="60"/>
      <c r="H19" s="60"/>
      <c r="I19" s="60"/>
      <c r="J19" s="60"/>
      <c r="K19" s="60"/>
      <c r="L19" s="60"/>
      <c r="M19" s="60"/>
      <c r="N19" s="60"/>
      <c r="O19" s="60"/>
      <c r="P19" s="60"/>
      <c r="Q19" s="60"/>
      <c r="R19" s="60"/>
      <c r="S19" s="60"/>
      <c r="T19" s="60"/>
      <c r="U19" s="60"/>
      <c r="V19" s="60"/>
      <c r="W19" s="60"/>
      <c r="X19" s="60"/>
      <c r="Y19" s="60"/>
      <c r="Z19" s="60"/>
      <c r="AA19" s="60"/>
      <c r="AB19" s="60"/>
      <c r="AC19" s="60"/>
    </row>
    <row r="20" spans="2:29" x14ac:dyDescent="0.45">
      <c r="B20" s="59"/>
      <c r="C20" s="114" t="s">
        <v>12</v>
      </c>
      <c r="D20" s="116">
        <v>2050</v>
      </c>
      <c r="E20" s="116">
        <v>120</v>
      </c>
      <c r="F20" s="116">
        <v>1930</v>
      </c>
      <c r="G20" s="60"/>
      <c r="H20" s="60"/>
      <c r="I20" s="60"/>
      <c r="J20" s="60"/>
      <c r="K20" s="60"/>
      <c r="L20" s="60"/>
      <c r="M20" s="60"/>
      <c r="N20" s="60"/>
      <c r="O20" s="60"/>
      <c r="P20" s="60"/>
      <c r="Q20" s="60"/>
      <c r="R20" s="60"/>
      <c r="S20" s="60"/>
      <c r="T20" s="60"/>
      <c r="U20" s="60"/>
      <c r="V20" s="60"/>
      <c r="W20" s="60"/>
      <c r="X20" s="60"/>
      <c r="Y20" s="60"/>
      <c r="Z20" s="60"/>
      <c r="AA20" s="60"/>
      <c r="AB20" s="60"/>
      <c r="AC20" s="60"/>
    </row>
    <row r="21" spans="2:29" x14ac:dyDescent="0.45">
      <c r="B21" s="59"/>
      <c r="C21" s="114" t="s">
        <v>4</v>
      </c>
      <c r="D21" s="116">
        <v>4200</v>
      </c>
      <c r="E21" s="116">
        <v>3600</v>
      </c>
      <c r="F21" s="116">
        <v>600</v>
      </c>
      <c r="G21" s="60"/>
      <c r="H21" s="60"/>
      <c r="I21" s="60"/>
      <c r="J21" s="60"/>
      <c r="K21" s="60"/>
      <c r="L21" s="60"/>
      <c r="M21" s="60"/>
      <c r="N21" s="60"/>
      <c r="O21" s="60"/>
      <c r="P21" s="60"/>
      <c r="Q21" s="60"/>
      <c r="R21" s="60"/>
      <c r="S21" s="60"/>
      <c r="T21" s="60"/>
      <c r="U21" s="60"/>
      <c r="V21" s="60"/>
      <c r="W21" s="60"/>
      <c r="X21" s="60"/>
      <c r="Y21" s="60"/>
      <c r="Z21" s="60"/>
      <c r="AA21" s="60"/>
      <c r="AB21" s="60"/>
      <c r="AC21" s="60"/>
    </row>
    <row r="22" spans="2:29" x14ac:dyDescent="0.45">
      <c r="B22" s="59"/>
      <c r="C22" s="63"/>
      <c r="D22" s="63"/>
      <c r="E22" s="63"/>
      <c r="F22" s="63"/>
      <c r="G22" s="60"/>
      <c r="H22" s="60"/>
      <c r="I22" s="60"/>
      <c r="J22" s="60"/>
      <c r="K22" s="60"/>
      <c r="L22" s="60"/>
      <c r="M22" s="60"/>
      <c r="N22" s="60"/>
      <c r="O22" s="60"/>
      <c r="P22" s="60"/>
      <c r="Q22" s="60"/>
      <c r="R22" s="60"/>
      <c r="S22" s="60"/>
      <c r="T22" s="60"/>
      <c r="U22" s="60"/>
      <c r="V22" s="60"/>
      <c r="W22" s="60"/>
      <c r="X22" s="60"/>
      <c r="Y22" s="60"/>
      <c r="Z22" s="60"/>
      <c r="AA22" s="60"/>
      <c r="AB22" s="60"/>
      <c r="AC22" s="60"/>
    </row>
    <row r="23" spans="2:29" ht="20.100000000000001" customHeight="1" x14ac:dyDescent="0.45">
      <c r="B23" s="59"/>
      <c r="C23" s="61"/>
      <c r="D23" s="62"/>
      <c r="E23" s="62"/>
      <c r="F23" s="62"/>
      <c r="G23" s="60"/>
      <c r="H23" s="60"/>
      <c r="I23" s="60"/>
      <c r="J23" s="60"/>
      <c r="K23" s="60"/>
      <c r="L23" s="60"/>
      <c r="M23" s="60"/>
      <c r="N23" s="60"/>
      <c r="O23" s="60"/>
      <c r="P23" s="60"/>
      <c r="Q23" s="60"/>
      <c r="R23" s="60"/>
      <c r="S23" s="60"/>
      <c r="T23" s="60"/>
      <c r="U23" s="60"/>
      <c r="V23" s="60"/>
      <c r="W23" s="60"/>
      <c r="X23" s="60"/>
      <c r="Y23" s="60"/>
      <c r="Z23" s="60"/>
      <c r="AA23" s="60"/>
      <c r="AB23" s="60"/>
      <c r="AC23" s="60"/>
    </row>
    <row r="24" spans="2:29" ht="20.100000000000001" customHeight="1" x14ac:dyDescent="0.45">
      <c r="B24" s="59"/>
      <c r="C24" s="61"/>
      <c r="D24" s="62"/>
      <c r="E24" s="62"/>
      <c r="F24" s="62"/>
      <c r="G24" s="60"/>
      <c r="H24" s="60"/>
      <c r="I24" s="60"/>
      <c r="J24" s="60"/>
      <c r="K24" s="60"/>
      <c r="L24" s="60"/>
      <c r="M24" s="60"/>
      <c r="N24" s="60"/>
      <c r="O24" s="60"/>
      <c r="P24" s="60"/>
      <c r="Q24" s="60"/>
      <c r="R24" s="60"/>
      <c r="S24" s="60"/>
      <c r="T24" s="60"/>
      <c r="U24" s="60"/>
      <c r="V24" s="60"/>
      <c r="W24" s="60"/>
      <c r="X24" s="60"/>
      <c r="Y24" s="60"/>
      <c r="Z24" s="60"/>
      <c r="AA24" s="60"/>
      <c r="AB24" s="60"/>
      <c r="AC24" s="60"/>
    </row>
    <row r="25" spans="2:29" ht="20.100000000000001" customHeight="1" x14ac:dyDescent="0.5">
      <c r="B25" s="59"/>
      <c r="C25" s="61"/>
      <c r="D25" s="62"/>
      <c r="E25" s="62"/>
      <c r="F25" s="62"/>
      <c r="G25" s="60"/>
      <c r="H25" s="60"/>
      <c r="I25" s="60"/>
      <c r="J25" s="60"/>
      <c r="K25" s="60"/>
      <c r="L25" s="60"/>
      <c r="M25" s="60"/>
      <c r="N25" s="60"/>
      <c r="O25" s="60"/>
      <c r="P25" s="60"/>
      <c r="Q25" s="60"/>
      <c r="R25" s="60"/>
      <c r="S25" s="60"/>
      <c r="T25" s="60"/>
      <c r="U25" s="112"/>
      <c r="V25" s="112"/>
      <c r="W25" s="60"/>
      <c r="X25" s="60"/>
      <c r="Y25" s="60"/>
      <c r="Z25" s="60"/>
      <c r="AA25" s="60"/>
      <c r="AB25" s="60"/>
      <c r="AC25" s="60"/>
    </row>
    <row r="26" spans="2:29" ht="20.100000000000001" customHeight="1" x14ac:dyDescent="0.45">
      <c r="B26" s="59"/>
      <c r="C26" s="61"/>
      <c r="D26" s="62"/>
      <c r="E26" s="62"/>
      <c r="F26" s="62"/>
      <c r="G26" s="60"/>
      <c r="H26" s="60"/>
      <c r="I26" s="60"/>
      <c r="J26" s="60"/>
      <c r="K26" s="60"/>
      <c r="L26" s="60"/>
      <c r="M26" s="60"/>
      <c r="N26" s="60"/>
      <c r="O26" s="60"/>
      <c r="P26" s="60"/>
      <c r="Q26" s="60"/>
      <c r="R26" s="60"/>
      <c r="S26" s="60"/>
      <c r="T26" s="60"/>
      <c r="U26" s="60"/>
      <c r="V26" s="60"/>
      <c r="W26" s="60"/>
      <c r="X26" s="60"/>
      <c r="Y26" s="60"/>
      <c r="Z26" s="60"/>
      <c r="AA26" s="60"/>
      <c r="AB26" s="60"/>
      <c r="AC26" s="60"/>
    </row>
    <row r="27" spans="2:29" ht="20.100000000000001" customHeight="1" x14ac:dyDescent="0.45">
      <c r="B27" s="59"/>
      <c r="C27" s="61"/>
      <c r="D27" s="62"/>
      <c r="E27" s="62"/>
      <c r="F27" s="62"/>
      <c r="G27" s="60"/>
      <c r="H27" s="60"/>
      <c r="I27" s="60"/>
      <c r="J27" s="60"/>
      <c r="K27" s="60"/>
      <c r="L27" s="60"/>
      <c r="M27" s="60"/>
      <c r="N27" s="60"/>
      <c r="O27" s="60"/>
      <c r="P27" s="60"/>
      <c r="Q27" s="60"/>
      <c r="R27" s="60"/>
      <c r="S27" s="60"/>
      <c r="T27" s="60"/>
      <c r="U27" s="60"/>
      <c r="V27" s="60"/>
      <c r="W27" s="60"/>
      <c r="X27" s="60"/>
      <c r="Y27" s="60"/>
      <c r="Z27" s="60"/>
      <c r="AA27" s="60"/>
      <c r="AB27" s="60"/>
      <c r="AC27" s="60"/>
    </row>
    <row r="28" spans="2:29" ht="20.100000000000001" customHeight="1" x14ac:dyDescent="0.45">
      <c r="B28" s="59"/>
      <c r="C28" s="61"/>
      <c r="D28" s="62"/>
      <c r="E28" s="62"/>
      <c r="F28" s="62"/>
      <c r="G28" s="60"/>
      <c r="H28" s="60"/>
      <c r="I28" s="60"/>
      <c r="J28" s="60"/>
      <c r="K28" s="60"/>
      <c r="L28" s="60"/>
      <c r="M28" s="60"/>
      <c r="N28" s="60"/>
      <c r="O28" s="60"/>
      <c r="P28" s="60"/>
      <c r="Q28" s="60"/>
      <c r="R28" s="60"/>
      <c r="S28" s="60"/>
      <c r="T28" s="60"/>
      <c r="U28" s="60"/>
      <c r="V28" s="60"/>
      <c r="W28" s="60"/>
      <c r="X28" s="60"/>
      <c r="Y28" s="60"/>
      <c r="Z28" s="60"/>
      <c r="AA28" s="60"/>
      <c r="AB28" s="60"/>
      <c r="AC28" s="60"/>
    </row>
    <row r="29" spans="2:29" ht="20.100000000000001" customHeight="1" x14ac:dyDescent="0.45">
      <c r="B29" s="60"/>
      <c r="C29" s="64"/>
      <c r="D29" s="65"/>
      <c r="E29" s="65"/>
      <c r="F29" s="65"/>
      <c r="G29" s="60"/>
      <c r="H29" s="60"/>
      <c r="I29" s="60"/>
      <c r="J29" s="60"/>
      <c r="K29" s="60"/>
      <c r="L29" s="60"/>
      <c r="M29" s="60"/>
      <c r="N29" s="60"/>
      <c r="O29" s="60"/>
      <c r="P29" s="60"/>
      <c r="Q29" s="60"/>
      <c r="R29" s="60"/>
      <c r="S29" s="60"/>
      <c r="T29" s="60"/>
      <c r="U29" s="60"/>
      <c r="V29" s="60"/>
      <c r="W29" s="60"/>
      <c r="X29" s="60"/>
      <c r="Y29" s="60"/>
      <c r="Z29" s="60"/>
      <c r="AA29" s="60"/>
      <c r="AB29" s="60"/>
      <c r="AC29" s="60"/>
    </row>
    <row r="30" spans="2:29" ht="20.100000000000001" customHeight="1" x14ac:dyDescent="0.45">
      <c r="B30" s="60"/>
      <c r="C30" s="63"/>
      <c r="D30" s="63"/>
      <c r="E30" s="63"/>
      <c r="F30" s="63"/>
      <c r="G30" s="60"/>
      <c r="H30" s="60"/>
      <c r="I30" s="60"/>
      <c r="J30" s="60"/>
      <c r="K30" s="60"/>
      <c r="L30" s="60"/>
      <c r="M30" s="60"/>
      <c r="N30" s="60"/>
      <c r="O30" s="60"/>
      <c r="P30" s="60"/>
      <c r="Q30" s="60"/>
      <c r="R30" s="60"/>
      <c r="S30" s="60"/>
      <c r="T30" s="60"/>
      <c r="U30" s="60"/>
      <c r="V30" s="60"/>
      <c r="W30" s="60"/>
      <c r="X30" s="60"/>
      <c r="Y30" s="60"/>
      <c r="Z30" s="60"/>
      <c r="AA30" s="60"/>
      <c r="AB30" s="60"/>
      <c r="AC30" s="60"/>
    </row>
    <row r="31" spans="2:29" ht="20.100000000000001" customHeight="1" x14ac:dyDescent="0.45">
      <c r="B31" s="60"/>
      <c r="C31" s="63"/>
      <c r="D31" s="63"/>
      <c r="E31" s="63"/>
      <c r="F31" s="63"/>
      <c r="G31" s="60"/>
      <c r="H31" s="60"/>
      <c r="I31" s="60"/>
      <c r="J31" s="60"/>
      <c r="K31" s="60"/>
      <c r="L31" s="60"/>
      <c r="M31" s="60"/>
      <c r="N31" s="60"/>
      <c r="O31" s="60"/>
      <c r="P31" s="60"/>
      <c r="Q31" s="60"/>
      <c r="R31" s="60"/>
      <c r="S31" s="60"/>
      <c r="T31" s="60"/>
      <c r="U31" s="60"/>
      <c r="V31" s="60"/>
      <c r="W31" s="60"/>
      <c r="X31" s="60"/>
      <c r="Y31" s="60"/>
      <c r="Z31" s="60"/>
      <c r="AA31" s="60"/>
      <c r="AB31" s="60"/>
      <c r="AC31" s="60"/>
    </row>
    <row r="32" spans="2:29" ht="20.100000000000001" customHeight="1" x14ac:dyDescent="0.45">
      <c r="B32" s="60"/>
      <c r="C32" s="60"/>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row>
    <row r="33" spans="2:29" ht="20.100000000000001" customHeight="1" x14ac:dyDescent="0.45"/>
    <row r="34" spans="2:29" ht="20.100000000000001" customHeight="1" x14ac:dyDescent="0.45"/>
    <row r="35" spans="2:29" ht="20.100000000000001" customHeight="1" x14ac:dyDescent="0.45"/>
    <row r="36" spans="2:29" ht="20.100000000000001" customHeight="1" x14ac:dyDescent="0.45"/>
    <row r="37" spans="2:29" ht="20.100000000000001" customHeight="1" x14ac:dyDescent="0.45"/>
    <row r="38" spans="2:29" ht="20.100000000000001" customHeight="1" x14ac:dyDescent="0.45"/>
    <row r="39" spans="2:29" ht="20.100000000000001" customHeight="1" x14ac:dyDescent="0.45">
      <c r="B39" s="60"/>
      <c r="C39" s="60"/>
      <c r="D39" s="60"/>
      <c r="E39" s="60"/>
      <c r="F39" s="60"/>
      <c r="G39" s="60"/>
      <c r="H39" s="60"/>
      <c r="I39" s="110"/>
      <c r="J39" s="110"/>
      <c r="K39" s="60"/>
      <c r="L39" s="60"/>
      <c r="M39" s="60"/>
      <c r="N39" s="60"/>
      <c r="O39" s="60"/>
      <c r="P39" s="60"/>
      <c r="Q39" s="60"/>
      <c r="R39" s="60"/>
      <c r="S39" s="60"/>
      <c r="T39" s="60"/>
      <c r="U39" s="60"/>
      <c r="V39" s="60"/>
      <c r="W39" s="60"/>
      <c r="X39" s="60"/>
      <c r="Y39" s="60"/>
      <c r="Z39" s="60"/>
      <c r="AA39" s="60"/>
      <c r="AB39" s="60"/>
      <c r="AC39" s="60"/>
    </row>
    <row r="40" spans="2:29" x14ac:dyDescent="0.45">
      <c r="B40" s="60"/>
      <c r="C40" s="117" t="s">
        <v>35</v>
      </c>
      <c r="D40" s="118" t="s">
        <v>183</v>
      </c>
      <c r="E40" s="118" t="s">
        <v>184</v>
      </c>
      <c r="F40" s="118" t="s">
        <v>185</v>
      </c>
      <c r="G40" s="60"/>
      <c r="H40" s="60"/>
      <c r="I40" s="60"/>
      <c r="J40" s="60"/>
      <c r="K40" s="60"/>
      <c r="L40" s="60"/>
      <c r="M40" s="60"/>
      <c r="N40" s="60"/>
      <c r="O40" s="60"/>
      <c r="P40" s="60"/>
      <c r="Q40" s="60"/>
      <c r="R40" s="60"/>
      <c r="S40" s="60"/>
      <c r="T40" s="60"/>
      <c r="U40" s="60"/>
      <c r="V40" s="60"/>
      <c r="W40" s="60"/>
      <c r="X40" s="60"/>
      <c r="Y40" s="60"/>
      <c r="Z40" s="60"/>
      <c r="AA40" s="60"/>
      <c r="AB40" s="60"/>
      <c r="AC40" s="60"/>
    </row>
    <row r="41" spans="2:29" x14ac:dyDescent="0.45">
      <c r="B41" s="60"/>
      <c r="C41" s="117" t="s">
        <v>16</v>
      </c>
      <c r="D41" s="119">
        <v>360</v>
      </c>
      <c r="E41" s="119">
        <v>495</v>
      </c>
      <c r="F41" s="119">
        <v>-135</v>
      </c>
      <c r="G41" s="60"/>
      <c r="H41" s="60"/>
      <c r="I41" s="60"/>
      <c r="J41" s="60"/>
      <c r="K41" s="60"/>
      <c r="L41" s="60"/>
      <c r="M41" s="60"/>
      <c r="N41" s="60"/>
      <c r="O41" s="60"/>
      <c r="P41" s="60"/>
      <c r="Q41" s="60"/>
      <c r="R41" s="60"/>
      <c r="S41" s="60"/>
      <c r="T41" s="60"/>
      <c r="U41" s="60"/>
      <c r="V41" s="60"/>
      <c r="W41" s="60"/>
      <c r="X41" s="60"/>
      <c r="Y41" s="60"/>
      <c r="Z41" s="60"/>
      <c r="AA41" s="60"/>
      <c r="AB41" s="60"/>
      <c r="AC41" s="60"/>
    </row>
    <row r="42" spans="2:29" x14ac:dyDescent="0.45">
      <c r="B42" s="60"/>
      <c r="C42" s="117" t="s">
        <v>14</v>
      </c>
      <c r="D42" s="119">
        <v>120</v>
      </c>
      <c r="E42" s="119">
        <v>210</v>
      </c>
      <c r="F42" s="119">
        <v>-90</v>
      </c>
      <c r="G42" s="60"/>
      <c r="H42" s="60"/>
      <c r="I42" s="60"/>
      <c r="J42" s="60"/>
      <c r="K42" s="60"/>
      <c r="L42" s="60"/>
      <c r="M42" s="60"/>
      <c r="N42" s="60"/>
      <c r="O42" s="60"/>
      <c r="P42" s="60"/>
      <c r="Q42" s="60"/>
      <c r="R42" s="60"/>
      <c r="S42" s="60"/>
      <c r="T42" s="60"/>
      <c r="U42" s="60"/>
      <c r="V42" s="60"/>
      <c r="W42" s="60"/>
      <c r="X42" s="60"/>
      <c r="Y42" s="60"/>
      <c r="Z42" s="60"/>
      <c r="AA42" s="60"/>
      <c r="AB42" s="60"/>
      <c r="AC42" s="60"/>
    </row>
    <row r="43" spans="2:29" x14ac:dyDescent="0.45">
      <c r="B43" s="60"/>
      <c r="C43" s="117" t="s">
        <v>9</v>
      </c>
      <c r="D43" s="119">
        <v>2400</v>
      </c>
      <c r="E43" s="119">
        <v>835</v>
      </c>
      <c r="F43" s="119">
        <v>1565</v>
      </c>
      <c r="G43" s="60"/>
      <c r="H43" s="60"/>
      <c r="I43" s="60"/>
      <c r="J43" s="60"/>
      <c r="K43" s="60"/>
      <c r="L43" s="60"/>
      <c r="M43" s="60"/>
      <c r="N43" s="60"/>
      <c r="O43" s="60"/>
      <c r="P43" s="60"/>
      <c r="Q43" s="60"/>
      <c r="R43" s="60"/>
      <c r="S43" s="60"/>
      <c r="T43" s="60"/>
      <c r="U43" s="60"/>
      <c r="V43" s="60"/>
      <c r="W43" s="60"/>
      <c r="X43" s="60"/>
      <c r="Y43" s="60"/>
      <c r="Z43" s="60"/>
      <c r="AA43" s="60"/>
      <c r="AB43" s="60"/>
      <c r="AC43" s="60"/>
    </row>
    <row r="44" spans="2:29" x14ac:dyDescent="0.45">
      <c r="B44" s="60"/>
      <c r="C44" s="117" t="s">
        <v>13</v>
      </c>
      <c r="D44" s="119">
        <v>240</v>
      </c>
      <c r="E44" s="119">
        <v>63</v>
      </c>
      <c r="F44" s="119">
        <v>177</v>
      </c>
      <c r="G44" s="60"/>
      <c r="H44" s="60"/>
      <c r="I44" s="60"/>
      <c r="J44" s="60"/>
      <c r="K44" s="60"/>
      <c r="L44" s="60"/>
      <c r="M44" s="60"/>
      <c r="N44" s="60"/>
      <c r="O44" s="60"/>
      <c r="P44" s="60"/>
      <c r="Q44" s="60"/>
      <c r="R44" s="60"/>
      <c r="S44" s="60"/>
      <c r="T44" s="60"/>
      <c r="U44" s="60"/>
      <c r="V44" s="60"/>
      <c r="W44" s="60"/>
      <c r="X44" s="60"/>
      <c r="Y44" s="60"/>
      <c r="Z44" s="60"/>
      <c r="AA44" s="60"/>
      <c r="AB44" s="60"/>
      <c r="AC44" s="60"/>
    </row>
    <row r="45" spans="2:29" x14ac:dyDescent="0.45">
      <c r="B45" s="60"/>
      <c r="C45" s="117" t="s">
        <v>18</v>
      </c>
      <c r="D45" s="119">
        <v>60</v>
      </c>
      <c r="E45" s="119">
        <v>280</v>
      </c>
      <c r="F45" s="119">
        <v>-220</v>
      </c>
      <c r="G45" s="60"/>
      <c r="H45" s="60"/>
      <c r="I45" s="60"/>
      <c r="J45" s="60"/>
      <c r="K45" s="60"/>
      <c r="L45" s="60"/>
      <c r="M45" s="60"/>
      <c r="N45" s="60"/>
      <c r="O45" s="60"/>
      <c r="P45" s="60"/>
      <c r="Q45" s="60"/>
      <c r="R45" s="60"/>
      <c r="S45" s="60"/>
      <c r="T45" s="60"/>
      <c r="U45" s="60"/>
      <c r="V45" s="60"/>
      <c r="W45" s="60"/>
      <c r="X45" s="60"/>
      <c r="Y45" s="60"/>
      <c r="Z45" s="60"/>
      <c r="AA45" s="60"/>
      <c r="AB45" s="60"/>
      <c r="AC45" s="60"/>
    </row>
    <row r="46" spans="2:29" x14ac:dyDescent="0.45">
      <c r="B46" s="60"/>
      <c r="C46" s="117" t="s">
        <v>5</v>
      </c>
      <c r="D46" s="119">
        <v>6000</v>
      </c>
      <c r="E46" s="119">
        <v>6240</v>
      </c>
      <c r="F46" s="119">
        <v>-240</v>
      </c>
      <c r="G46" s="60"/>
      <c r="H46" s="60"/>
      <c r="I46" s="60"/>
      <c r="J46" s="60"/>
      <c r="K46" s="60"/>
      <c r="L46" s="60"/>
      <c r="M46" s="60"/>
      <c r="N46" s="60"/>
      <c r="O46" s="60"/>
      <c r="P46" s="60"/>
      <c r="Q46" s="60"/>
      <c r="R46" s="60"/>
      <c r="S46" s="60"/>
      <c r="T46" s="60"/>
      <c r="U46" s="60"/>
      <c r="V46" s="60"/>
      <c r="W46" s="60"/>
      <c r="X46" s="60"/>
      <c r="Y46" s="60"/>
      <c r="Z46" s="60"/>
      <c r="AA46" s="60"/>
      <c r="AB46" s="60"/>
      <c r="AC46" s="60"/>
    </row>
    <row r="47" spans="2:29" x14ac:dyDescent="0.45">
      <c r="B47" s="60"/>
      <c r="C47" s="117" t="s">
        <v>15</v>
      </c>
      <c r="D47" s="119">
        <v>60</v>
      </c>
      <c r="E47" s="119">
        <v>52</v>
      </c>
      <c r="F47" s="119">
        <v>8</v>
      </c>
      <c r="G47" s="60"/>
      <c r="H47" s="60"/>
      <c r="I47" s="60"/>
      <c r="J47" s="60"/>
      <c r="K47" s="60"/>
      <c r="L47" s="60"/>
      <c r="M47" s="60"/>
      <c r="N47" s="60"/>
      <c r="O47" s="60"/>
      <c r="P47" s="60"/>
      <c r="Q47" s="60"/>
      <c r="R47" s="60"/>
      <c r="S47" s="60"/>
      <c r="T47" s="60"/>
      <c r="U47" s="60"/>
      <c r="V47" s="60"/>
      <c r="W47" s="60"/>
      <c r="X47" s="60"/>
      <c r="Y47" s="60"/>
      <c r="Z47" s="60"/>
      <c r="AA47" s="60"/>
      <c r="AB47" s="60"/>
      <c r="AC47" s="60"/>
    </row>
    <row r="48" spans="2:29" x14ac:dyDescent="0.45">
      <c r="B48" s="60"/>
      <c r="C48" s="117" t="s">
        <v>11</v>
      </c>
      <c r="D48" s="119">
        <v>1200</v>
      </c>
      <c r="E48" s="119">
        <v>1120</v>
      </c>
      <c r="F48" s="119">
        <v>80</v>
      </c>
      <c r="G48" s="60"/>
      <c r="H48" s="60"/>
      <c r="I48" s="60"/>
      <c r="J48" s="60"/>
      <c r="K48" s="60"/>
      <c r="L48" s="60"/>
      <c r="M48" s="60"/>
      <c r="N48" s="60"/>
      <c r="O48" s="60"/>
      <c r="P48" s="60"/>
      <c r="Q48" s="60"/>
      <c r="R48" s="60"/>
      <c r="S48" s="60"/>
      <c r="T48" s="60"/>
      <c r="U48" s="60"/>
      <c r="V48" s="60"/>
      <c r="W48" s="60"/>
      <c r="X48" s="60"/>
      <c r="Y48" s="60"/>
      <c r="Z48" s="60"/>
      <c r="AA48" s="60"/>
      <c r="AB48" s="60"/>
      <c r="AC48" s="60"/>
    </row>
    <row r="49" spans="2:29" x14ac:dyDescent="0.45">
      <c r="B49" s="60"/>
      <c r="C49" s="117" t="s">
        <v>7</v>
      </c>
      <c r="D49" s="119">
        <v>96</v>
      </c>
      <c r="E49" s="119">
        <v>70</v>
      </c>
      <c r="F49" s="119">
        <v>26</v>
      </c>
      <c r="G49" s="60"/>
      <c r="H49" s="60"/>
      <c r="I49" s="60"/>
      <c r="J49" s="60"/>
      <c r="K49" s="60"/>
      <c r="L49" s="60"/>
      <c r="M49" s="60"/>
      <c r="N49" s="60"/>
      <c r="O49" s="60"/>
      <c r="P49" s="60"/>
      <c r="Q49" s="60"/>
      <c r="R49" s="60"/>
      <c r="S49" s="60"/>
      <c r="T49" s="60"/>
      <c r="U49" s="60"/>
      <c r="V49" s="60"/>
      <c r="W49" s="60"/>
      <c r="X49" s="60"/>
      <c r="Y49" s="60"/>
      <c r="Z49" s="60"/>
      <c r="AA49" s="60"/>
      <c r="AB49" s="60"/>
      <c r="AC49" s="60"/>
    </row>
    <row r="50" spans="2:29" x14ac:dyDescent="0.45">
      <c r="B50" s="60"/>
      <c r="C50" s="117" t="s">
        <v>19</v>
      </c>
      <c r="D50" s="119">
        <v>36</v>
      </c>
      <c r="E50" s="119"/>
      <c r="F50" s="119">
        <v>36</v>
      </c>
      <c r="G50" s="60"/>
      <c r="H50" s="60"/>
      <c r="I50" s="60"/>
      <c r="J50" s="60"/>
      <c r="K50" s="60"/>
      <c r="L50" s="60"/>
      <c r="M50" s="60"/>
      <c r="N50" s="60"/>
      <c r="O50" s="60"/>
      <c r="P50" s="60"/>
      <c r="Q50" s="60"/>
      <c r="R50" s="60"/>
      <c r="S50" s="60"/>
      <c r="T50" s="60"/>
      <c r="U50" s="60"/>
      <c r="V50" s="60"/>
      <c r="W50" s="60"/>
      <c r="X50" s="60"/>
      <c r="Y50" s="60"/>
      <c r="Z50" s="60"/>
      <c r="AA50" s="60"/>
      <c r="AB50" s="60"/>
      <c r="AC50" s="60"/>
    </row>
    <row r="51" spans="2:29" ht="14.1" customHeight="1" x14ac:dyDescent="0.45">
      <c r="B51" s="60"/>
      <c r="C51" s="66"/>
      <c r="D51" s="66"/>
      <c r="E51" s="66"/>
      <c r="F51" s="66"/>
      <c r="G51" s="60"/>
      <c r="H51" s="60"/>
      <c r="I51" s="60"/>
      <c r="J51" s="60"/>
      <c r="K51" s="60"/>
      <c r="L51" s="60"/>
      <c r="M51" s="60"/>
      <c r="N51" s="60"/>
      <c r="O51" s="60"/>
      <c r="P51" s="60"/>
      <c r="Q51" s="60"/>
      <c r="R51" s="60"/>
      <c r="S51" s="60"/>
      <c r="T51" s="60"/>
      <c r="U51" s="60"/>
      <c r="V51" s="60"/>
      <c r="W51" s="60"/>
      <c r="X51" s="60"/>
      <c r="Y51" s="60"/>
      <c r="Z51" s="60"/>
      <c r="AA51" s="60"/>
      <c r="AB51" s="60"/>
      <c r="AC51" s="60"/>
    </row>
    <row r="52" spans="2:29" ht="14.1" customHeight="1" x14ac:dyDescent="0.45">
      <c r="B52" s="60"/>
      <c r="C52" s="66"/>
      <c r="D52" s="66"/>
      <c r="E52" s="66"/>
      <c r="F52" s="66"/>
      <c r="G52" s="60"/>
      <c r="H52" s="60"/>
      <c r="I52" s="60"/>
      <c r="J52" s="60"/>
      <c r="K52" s="60"/>
      <c r="L52" s="60"/>
      <c r="M52" s="60"/>
      <c r="N52" s="60"/>
      <c r="O52" s="60"/>
      <c r="P52" s="60"/>
      <c r="Q52" s="60"/>
      <c r="R52" s="60"/>
      <c r="S52" s="60"/>
      <c r="T52" s="60"/>
      <c r="U52" s="60"/>
      <c r="V52" s="60"/>
      <c r="W52" s="60"/>
      <c r="X52" s="60"/>
      <c r="Y52" s="60"/>
      <c r="Z52" s="60"/>
      <c r="AA52" s="60"/>
      <c r="AB52" s="60"/>
      <c r="AC52" s="60"/>
    </row>
    <row r="53" spans="2:29" ht="14.1" customHeight="1" x14ac:dyDescent="0.45">
      <c r="B53" s="60"/>
      <c r="C53" s="66"/>
      <c r="D53" s="66"/>
      <c r="E53" s="66"/>
      <c r="F53" s="66"/>
      <c r="G53" s="60"/>
      <c r="H53" s="60"/>
      <c r="I53" s="60"/>
      <c r="J53" s="60"/>
      <c r="K53" s="60"/>
      <c r="L53" s="60"/>
      <c r="M53" s="60"/>
      <c r="N53" s="60"/>
      <c r="O53" s="60"/>
      <c r="P53" s="60"/>
      <c r="Q53" s="60"/>
      <c r="R53" s="60"/>
      <c r="S53" s="60"/>
      <c r="T53" s="60"/>
      <c r="U53" s="60"/>
      <c r="V53" s="60"/>
      <c r="W53" s="60"/>
      <c r="X53" s="60"/>
      <c r="Y53" s="60"/>
      <c r="Z53" s="60"/>
      <c r="AA53" s="60"/>
      <c r="AB53" s="60"/>
      <c r="AC53" s="60"/>
    </row>
    <row r="54" spans="2:29" ht="14.1" customHeight="1" x14ac:dyDescent="0.45">
      <c r="B54" s="60"/>
      <c r="C54" s="66"/>
      <c r="D54" s="66"/>
      <c r="E54" s="66"/>
      <c r="F54" s="66"/>
      <c r="G54" s="60"/>
      <c r="H54" s="60"/>
      <c r="I54" s="60"/>
      <c r="J54" s="60"/>
      <c r="K54" s="60"/>
      <c r="L54" s="60"/>
      <c r="M54" s="60"/>
      <c r="N54" s="60"/>
      <c r="O54" s="60"/>
      <c r="P54" s="60"/>
      <c r="Q54" s="60"/>
      <c r="R54" s="60"/>
      <c r="S54" s="60"/>
      <c r="T54" s="60"/>
      <c r="U54" s="60"/>
      <c r="V54" s="60"/>
      <c r="W54" s="60"/>
      <c r="X54" s="60"/>
      <c r="Y54" s="60"/>
      <c r="Z54" s="60"/>
      <c r="AA54" s="60"/>
      <c r="AB54" s="60"/>
      <c r="AC54" s="60"/>
    </row>
    <row r="55" spans="2:29" ht="14.1" customHeight="1" x14ac:dyDescent="0.45">
      <c r="B55" s="60"/>
      <c r="C55" s="66"/>
      <c r="D55" s="66"/>
      <c r="E55" s="66"/>
      <c r="F55" s="66"/>
      <c r="G55" s="60"/>
      <c r="H55" s="60"/>
      <c r="I55" s="60"/>
      <c r="J55" s="60"/>
      <c r="K55" s="60"/>
      <c r="L55" s="60"/>
      <c r="M55" s="60"/>
      <c r="N55" s="60"/>
      <c r="O55" s="60"/>
      <c r="P55" s="60"/>
      <c r="Q55" s="60"/>
      <c r="R55" s="60"/>
      <c r="S55" s="60"/>
      <c r="T55" s="60"/>
      <c r="U55" s="60"/>
      <c r="V55" s="60"/>
      <c r="W55" s="60"/>
      <c r="X55" s="60"/>
      <c r="Y55" s="60"/>
      <c r="Z55" s="60"/>
      <c r="AA55" s="60"/>
      <c r="AB55" s="60"/>
      <c r="AC55" s="60"/>
    </row>
    <row r="56" spans="2:29" ht="14.1" customHeight="1" x14ac:dyDescent="0.45">
      <c r="B56" s="60"/>
      <c r="C56" s="66"/>
      <c r="D56" s="66"/>
      <c r="E56" s="66"/>
      <c r="F56" s="66"/>
      <c r="G56" s="60"/>
      <c r="H56" s="60"/>
      <c r="I56" s="60"/>
      <c r="J56" s="60"/>
      <c r="K56" s="60"/>
      <c r="L56" s="60"/>
      <c r="M56" s="60"/>
      <c r="N56" s="60"/>
      <c r="O56" s="60"/>
      <c r="P56" s="60"/>
      <c r="Q56" s="60"/>
      <c r="R56" s="60"/>
      <c r="S56" s="60"/>
      <c r="T56" s="60"/>
      <c r="U56" s="60"/>
      <c r="V56" s="60"/>
      <c r="W56" s="60"/>
      <c r="X56" s="60"/>
      <c r="Y56" s="60"/>
      <c r="Z56" s="60"/>
      <c r="AA56" s="60"/>
      <c r="AB56" s="60"/>
      <c r="AC56" s="60"/>
    </row>
    <row r="57" spans="2:29" ht="14.1" customHeight="1" x14ac:dyDescent="0.45">
      <c r="B57" s="60"/>
      <c r="C57" s="66"/>
      <c r="D57" s="66"/>
      <c r="E57" s="66"/>
      <c r="F57" s="66"/>
      <c r="G57" s="60"/>
      <c r="H57" s="60"/>
      <c r="I57" s="60"/>
      <c r="J57" s="60"/>
      <c r="K57" s="60"/>
      <c r="L57" s="60"/>
      <c r="M57" s="60"/>
      <c r="N57" s="60"/>
      <c r="O57" s="60"/>
      <c r="P57" s="60"/>
      <c r="Q57" s="60"/>
      <c r="R57" s="60"/>
      <c r="S57" s="60"/>
      <c r="T57" s="60"/>
      <c r="U57" s="60"/>
      <c r="V57" s="60"/>
      <c r="W57" s="60"/>
      <c r="X57" s="60"/>
      <c r="Y57" s="60"/>
      <c r="Z57" s="60"/>
      <c r="AA57" s="60"/>
      <c r="AB57" s="60"/>
      <c r="AC57" s="60"/>
    </row>
    <row r="58" spans="2:29" ht="14.1" customHeight="1" x14ac:dyDescent="0.45">
      <c r="B58" s="60"/>
      <c r="C58" s="66"/>
      <c r="D58" s="66"/>
      <c r="E58" s="66"/>
      <c r="F58" s="66"/>
      <c r="G58" s="60"/>
      <c r="H58" s="60"/>
      <c r="I58" s="60"/>
      <c r="J58" s="60"/>
      <c r="K58" s="60"/>
      <c r="L58" s="60"/>
      <c r="M58" s="60"/>
      <c r="N58" s="60"/>
      <c r="O58" s="60"/>
      <c r="P58" s="60"/>
      <c r="Q58" s="60"/>
      <c r="R58" s="60"/>
      <c r="S58" s="60"/>
      <c r="T58" s="60"/>
      <c r="U58" s="60"/>
      <c r="V58" s="60"/>
      <c r="W58" s="60"/>
      <c r="X58" s="60"/>
      <c r="Y58" s="60"/>
      <c r="Z58" s="60"/>
      <c r="AA58" s="60"/>
      <c r="AB58" s="60"/>
      <c r="AC58" s="60"/>
    </row>
    <row r="59" spans="2:29" ht="14.1" customHeight="1" x14ac:dyDescent="0.45">
      <c r="B59" s="60"/>
      <c r="C59" s="66"/>
      <c r="D59" s="66"/>
      <c r="E59" s="66"/>
      <c r="F59" s="66"/>
      <c r="G59" s="60"/>
      <c r="H59" s="60"/>
      <c r="I59" s="60"/>
      <c r="J59" s="60"/>
      <c r="K59" s="60"/>
      <c r="L59" s="60"/>
      <c r="M59" s="60"/>
      <c r="N59" s="60"/>
      <c r="O59" s="60"/>
      <c r="P59" s="60"/>
      <c r="Q59" s="60"/>
      <c r="R59" s="60"/>
      <c r="S59" s="60"/>
      <c r="T59" s="60"/>
      <c r="U59" s="60"/>
      <c r="V59" s="60"/>
      <c r="W59" s="60"/>
      <c r="X59" s="60"/>
      <c r="Y59" s="60"/>
      <c r="Z59" s="60"/>
      <c r="AA59" s="60"/>
      <c r="AB59" s="60"/>
      <c r="AC59" s="60"/>
    </row>
    <row r="60" spans="2:29" ht="14.1" customHeight="1" x14ac:dyDescent="0.45">
      <c r="B60" s="60"/>
      <c r="C60" s="66"/>
      <c r="D60" s="66"/>
      <c r="E60" s="66"/>
      <c r="F60" s="66"/>
      <c r="G60" s="60"/>
      <c r="H60" s="60"/>
      <c r="I60" s="60"/>
      <c r="J60" s="60"/>
      <c r="K60" s="60"/>
      <c r="L60" s="60"/>
      <c r="M60" s="60"/>
      <c r="N60" s="60"/>
      <c r="O60" s="60"/>
      <c r="P60" s="60"/>
      <c r="Q60" s="60"/>
      <c r="R60" s="60"/>
      <c r="S60" s="60"/>
      <c r="T60" s="60"/>
      <c r="U60" s="60"/>
      <c r="V60" s="60"/>
      <c r="W60" s="60"/>
      <c r="X60" s="60"/>
      <c r="Y60" s="60"/>
      <c r="Z60" s="60"/>
      <c r="AA60" s="60"/>
      <c r="AB60" s="60"/>
      <c r="AC60" s="60"/>
    </row>
    <row r="61" spans="2:29" ht="14.1" customHeight="1" x14ac:dyDescent="0.45">
      <c r="B61" s="60"/>
      <c r="C61" s="66"/>
      <c r="D61" s="66"/>
      <c r="E61" s="66"/>
      <c r="F61" s="66"/>
      <c r="G61" s="60"/>
      <c r="H61" s="60"/>
      <c r="I61" s="60"/>
      <c r="J61" s="60"/>
      <c r="K61" s="60"/>
      <c r="L61" s="60"/>
      <c r="M61" s="60"/>
      <c r="N61" s="60"/>
      <c r="O61" s="60"/>
      <c r="P61" s="60"/>
      <c r="Q61" s="60"/>
      <c r="R61" s="60"/>
      <c r="S61" s="60"/>
      <c r="T61" s="60"/>
      <c r="U61" s="60"/>
      <c r="V61" s="60"/>
      <c r="W61" s="60"/>
      <c r="X61" s="60"/>
      <c r="Y61" s="60"/>
      <c r="Z61" s="60"/>
      <c r="AA61" s="60"/>
      <c r="AB61" s="60"/>
      <c r="AC61" s="60"/>
    </row>
    <row r="62" spans="2:29" ht="14.1" customHeight="1" x14ac:dyDescent="0.45">
      <c r="B62" s="60"/>
      <c r="C62" s="66"/>
      <c r="D62" s="66"/>
      <c r="E62" s="66"/>
      <c r="F62" s="66"/>
      <c r="G62" s="60"/>
      <c r="H62" s="60"/>
      <c r="I62" s="60"/>
      <c r="J62" s="60"/>
      <c r="K62" s="60"/>
      <c r="L62" s="60"/>
      <c r="M62" s="60"/>
      <c r="N62" s="60"/>
      <c r="O62" s="60"/>
      <c r="P62" s="60"/>
      <c r="Q62" s="60"/>
      <c r="R62" s="60"/>
      <c r="S62" s="60"/>
      <c r="T62" s="60"/>
      <c r="U62" s="60"/>
      <c r="V62" s="60"/>
      <c r="W62" s="60"/>
      <c r="X62" s="60"/>
      <c r="Y62" s="60"/>
      <c r="Z62" s="60"/>
      <c r="AA62" s="60"/>
      <c r="AB62" s="60"/>
      <c r="AC62" s="60"/>
    </row>
    <row r="63" spans="2:29" ht="14.1" customHeight="1" x14ac:dyDescent="0.45">
      <c r="B63" s="60"/>
      <c r="C63" s="66"/>
      <c r="D63" s="66"/>
      <c r="E63" s="66"/>
      <c r="F63" s="66"/>
      <c r="G63" s="60"/>
      <c r="H63" s="60"/>
      <c r="I63" s="60"/>
      <c r="J63" s="60"/>
      <c r="K63" s="60"/>
      <c r="L63" s="60"/>
      <c r="M63" s="60"/>
      <c r="N63" s="60"/>
      <c r="O63" s="60"/>
      <c r="P63" s="60"/>
      <c r="Q63" s="60"/>
      <c r="R63" s="60"/>
      <c r="S63" s="60"/>
      <c r="T63" s="60"/>
      <c r="U63" s="60"/>
      <c r="V63" s="60"/>
      <c r="W63" s="60"/>
      <c r="X63" s="60"/>
      <c r="Y63" s="60"/>
      <c r="Z63" s="60"/>
      <c r="AA63" s="60"/>
      <c r="AB63" s="60"/>
      <c r="AC63" s="60"/>
    </row>
    <row r="64" spans="2:29" ht="14.1" customHeight="1" x14ac:dyDescent="0.45">
      <c r="B64" s="60"/>
      <c r="C64" s="66"/>
      <c r="D64" s="66"/>
      <c r="E64" s="66"/>
      <c r="F64" s="66"/>
      <c r="G64" s="60"/>
      <c r="H64" s="60"/>
      <c r="I64" s="60"/>
      <c r="J64" s="60"/>
      <c r="K64" s="60"/>
      <c r="L64" s="60"/>
      <c r="M64" s="60"/>
      <c r="N64" s="60"/>
      <c r="O64" s="60"/>
      <c r="P64" s="60"/>
      <c r="Q64" s="60"/>
      <c r="R64" s="60"/>
      <c r="S64" s="60"/>
      <c r="T64" s="60"/>
      <c r="U64" s="60"/>
      <c r="V64" s="60"/>
      <c r="W64" s="60"/>
      <c r="X64" s="60"/>
      <c r="Y64" s="60"/>
      <c r="Z64" s="60"/>
      <c r="AA64" s="60"/>
      <c r="AB64" s="60"/>
      <c r="AC64" s="60"/>
    </row>
    <row r="65" spans="2:29" ht="14.1" customHeight="1" x14ac:dyDescent="0.45">
      <c r="B65" s="60"/>
      <c r="C65" s="66"/>
      <c r="D65" s="66"/>
      <c r="E65" s="66"/>
      <c r="F65" s="66"/>
      <c r="G65" s="60"/>
      <c r="H65" s="60"/>
      <c r="I65" s="60"/>
      <c r="J65" s="60"/>
      <c r="K65" s="60"/>
      <c r="L65" s="60"/>
      <c r="M65" s="60"/>
      <c r="N65" s="60"/>
      <c r="O65" s="60"/>
      <c r="P65" s="60"/>
      <c r="Q65" s="60"/>
      <c r="R65" s="60"/>
      <c r="S65" s="60"/>
      <c r="T65" s="60"/>
      <c r="U65" s="60"/>
      <c r="V65" s="60"/>
      <c r="W65" s="60"/>
      <c r="X65" s="60"/>
      <c r="Y65" s="60"/>
      <c r="Z65" s="60"/>
      <c r="AA65" s="60"/>
      <c r="AB65" s="60"/>
      <c r="AC65" s="60"/>
    </row>
    <row r="66" spans="2:29" ht="20.100000000000001" customHeight="1" x14ac:dyDescent="0.45">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row>
    <row r="67" spans="2:29" ht="20.100000000000001" customHeight="1" x14ac:dyDescent="0.45"/>
    <row r="68" spans="2:29" ht="20.100000000000001" customHeight="1" x14ac:dyDescent="0.45"/>
    <row r="69" spans="2:29" ht="20.100000000000001" customHeight="1" x14ac:dyDescent="0.45"/>
    <row r="70" spans="2:29" ht="20.100000000000001" customHeight="1" x14ac:dyDescent="0.45"/>
    <row r="71" spans="2:29" ht="20.100000000000001" customHeight="1" x14ac:dyDescent="0.45"/>
    <row r="72" spans="2:29" ht="20.100000000000001" customHeight="1" x14ac:dyDescent="0.45">
      <c r="B72" s="60"/>
      <c r="C72" s="60"/>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row>
    <row r="73" spans="2:29" x14ac:dyDescent="0.45">
      <c r="B73" s="60"/>
      <c r="C73" s="120" t="s">
        <v>35</v>
      </c>
      <c r="D73" s="121" t="s">
        <v>183</v>
      </c>
      <c r="E73" s="121" t="s">
        <v>184</v>
      </c>
      <c r="F73" s="121" t="s">
        <v>185</v>
      </c>
      <c r="G73" s="60"/>
      <c r="H73" s="60"/>
      <c r="I73" s="60"/>
      <c r="J73" s="60"/>
      <c r="K73" s="60"/>
      <c r="L73" s="60"/>
      <c r="M73" s="60"/>
      <c r="N73" s="60"/>
      <c r="O73" s="60"/>
      <c r="P73" s="60"/>
      <c r="Q73" s="60"/>
      <c r="R73" s="60"/>
      <c r="S73" s="60"/>
      <c r="T73" s="60"/>
      <c r="U73" s="60"/>
      <c r="V73" s="60"/>
      <c r="W73" s="60"/>
      <c r="X73" s="60"/>
      <c r="Y73" s="60"/>
      <c r="Z73" s="60"/>
      <c r="AA73" s="60"/>
      <c r="AB73" s="60"/>
      <c r="AC73" s="60"/>
    </row>
    <row r="74" spans="2:29" x14ac:dyDescent="0.45">
      <c r="B74" s="60"/>
      <c r="C74" s="120" t="s">
        <v>27</v>
      </c>
      <c r="D74" s="122">
        <v>180</v>
      </c>
      <c r="E74" s="122">
        <v>80</v>
      </c>
      <c r="F74" s="122">
        <v>100</v>
      </c>
      <c r="G74" s="60"/>
      <c r="H74" s="60"/>
      <c r="I74" s="60"/>
      <c r="J74" s="60"/>
      <c r="K74" s="60"/>
      <c r="L74" s="60"/>
      <c r="M74" s="60"/>
      <c r="N74" s="60"/>
      <c r="O74" s="60"/>
      <c r="P74" s="60"/>
      <c r="Q74" s="60"/>
      <c r="R74" s="60"/>
      <c r="S74" s="60"/>
      <c r="T74" s="60"/>
      <c r="U74" s="60"/>
      <c r="V74" s="60"/>
      <c r="W74" s="60"/>
      <c r="X74" s="60"/>
      <c r="Y74" s="60"/>
      <c r="Z74" s="60"/>
      <c r="AA74" s="60"/>
      <c r="AB74" s="60"/>
      <c r="AC74" s="60"/>
    </row>
    <row r="75" spans="2:29" x14ac:dyDescent="0.45">
      <c r="B75" s="60"/>
      <c r="C75" s="120" t="s">
        <v>25</v>
      </c>
      <c r="D75" s="122">
        <v>960</v>
      </c>
      <c r="E75" s="122">
        <v>2160</v>
      </c>
      <c r="F75" s="122">
        <v>-1200</v>
      </c>
      <c r="G75" s="60"/>
      <c r="H75" s="60"/>
      <c r="I75" s="60"/>
      <c r="J75" s="60"/>
      <c r="K75" s="60"/>
      <c r="L75" s="60"/>
      <c r="M75" s="60"/>
      <c r="N75" s="60"/>
      <c r="O75" s="60"/>
      <c r="P75" s="60"/>
      <c r="Q75" s="60"/>
      <c r="R75" s="60"/>
      <c r="S75" s="60"/>
      <c r="T75" s="60"/>
      <c r="U75" s="60"/>
      <c r="V75" s="60"/>
      <c r="W75" s="60"/>
      <c r="X75" s="60"/>
      <c r="Y75" s="60"/>
      <c r="Z75" s="60"/>
      <c r="AA75" s="60"/>
      <c r="AB75" s="60"/>
      <c r="AC75" s="60"/>
    </row>
    <row r="76" spans="2:29" x14ac:dyDescent="0.45">
      <c r="B76" s="60"/>
      <c r="C76" s="69"/>
      <c r="D76" s="69"/>
      <c r="E76" s="69"/>
      <c r="F76" s="69"/>
      <c r="G76" s="60"/>
      <c r="H76" s="60"/>
      <c r="I76" s="60"/>
      <c r="J76" s="60"/>
      <c r="K76" s="60"/>
      <c r="L76" s="60"/>
      <c r="M76" s="60"/>
      <c r="N76" s="60"/>
      <c r="O76" s="60"/>
      <c r="P76" s="60"/>
      <c r="Q76" s="60"/>
      <c r="R76" s="60"/>
      <c r="S76" s="60"/>
      <c r="T76" s="60"/>
      <c r="U76" s="60"/>
      <c r="V76" s="60"/>
      <c r="W76" s="60"/>
      <c r="X76" s="60"/>
      <c r="Y76" s="60"/>
      <c r="Z76" s="60"/>
      <c r="AA76" s="60"/>
      <c r="AB76" s="60"/>
      <c r="AC76" s="60"/>
    </row>
    <row r="77" spans="2:29" ht="20.100000000000001" customHeight="1" x14ac:dyDescent="0.45">
      <c r="B77" s="60"/>
      <c r="C77" s="67"/>
      <c r="D77" s="68"/>
      <c r="E77" s="68"/>
      <c r="F77" s="68"/>
      <c r="G77" s="60"/>
      <c r="H77" s="60"/>
      <c r="I77" s="60"/>
      <c r="J77" s="60"/>
      <c r="K77" s="60"/>
      <c r="L77" s="60"/>
      <c r="M77" s="60"/>
      <c r="N77" s="60"/>
      <c r="O77" s="60"/>
      <c r="P77" s="60"/>
      <c r="Q77" s="60"/>
      <c r="R77" s="60"/>
      <c r="S77" s="60"/>
      <c r="T77" s="60"/>
      <c r="U77" s="60"/>
      <c r="V77" s="60"/>
      <c r="W77" s="60"/>
      <c r="X77" s="60"/>
      <c r="Y77" s="60"/>
      <c r="Z77" s="60"/>
      <c r="AA77" s="60"/>
      <c r="AB77" s="60"/>
      <c r="AC77" s="60"/>
    </row>
    <row r="78" spans="2:29" ht="20.100000000000001" customHeight="1" x14ac:dyDescent="0.45">
      <c r="B78" s="60"/>
      <c r="C78" s="67"/>
      <c r="D78" s="68"/>
      <c r="E78" s="68"/>
      <c r="F78" s="68"/>
      <c r="G78" s="60"/>
      <c r="H78" s="60"/>
      <c r="I78" s="60"/>
      <c r="J78" s="60"/>
      <c r="K78" s="60"/>
      <c r="L78" s="60"/>
      <c r="M78" s="60"/>
      <c r="N78" s="60"/>
      <c r="O78" s="60"/>
      <c r="P78" s="60"/>
      <c r="Q78" s="60"/>
      <c r="R78" s="60"/>
      <c r="S78" s="60"/>
      <c r="T78" s="60"/>
      <c r="U78" s="60"/>
      <c r="V78" s="60"/>
      <c r="W78" s="60"/>
      <c r="X78" s="60"/>
      <c r="Y78" s="60"/>
      <c r="Z78" s="60"/>
      <c r="AA78" s="60"/>
      <c r="AB78" s="60"/>
      <c r="AC78" s="60"/>
    </row>
    <row r="79" spans="2:29" ht="20.100000000000001" customHeight="1" x14ac:dyDescent="0.45">
      <c r="B79" s="60"/>
      <c r="C79" s="67"/>
      <c r="D79" s="68"/>
      <c r="E79" s="68"/>
      <c r="F79" s="68"/>
      <c r="G79" s="60"/>
      <c r="H79" s="60"/>
      <c r="I79" s="60"/>
      <c r="J79" s="60"/>
      <c r="K79" s="60"/>
      <c r="L79" s="60"/>
      <c r="M79" s="60"/>
      <c r="N79" s="60"/>
      <c r="O79" s="60"/>
      <c r="P79" s="60"/>
      <c r="Q79" s="60"/>
      <c r="R79" s="60"/>
      <c r="S79" s="60"/>
      <c r="T79" s="60"/>
      <c r="U79" s="60"/>
      <c r="V79" s="60"/>
      <c r="W79" s="60"/>
      <c r="X79" s="60"/>
      <c r="Y79" s="60"/>
      <c r="Z79" s="60"/>
      <c r="AA79" s="60"/>
      <c r="AB79" s="60"/>
      <c r="AC79" s="60"/>
    </row>
    <row r="80" spans="2:29" ht="20.100000000000001" customHeight="1" x14ac:dyDescent="0.45">
      <c r="B80" s="60"/>
      <c r="C80" s="67"/>
      <c r="D80" s="68"/>
      <c r="E80" s="68"/>
      <c r="F80" s="68"/>
      <c r="G80" s="60"/>
      <c r="H80" s="60"/>
      <c r="I80" s="60"/>
      <c r="J80" s="60"/>
      <c r="K80" s="60"/>
      <c r="L80" s="60"/>
      <c r="M80" s="60"/>
      <c r="N80" s="60"/>
      <c r="O80" s="60"/>
      <c r="P80" s="60"/>
      <c r="Q80" s="60"/>
      <c r="R80" s="60"/>
      <c r="S80" s="60"/>
      <c r="T80" s="60"/>
      <c r="U80" s="60"/>
      <c r="V80" s="60"/>
      <c r="W80" s="60"/>
      <c r="X80" s="60"/>
      <c r="Y80" s="60"/>
      <c r="Z80" s="60"/>
      <c r="AA80" s="60"/>
      <c r="AB80" s="60"/>
      <c r="AC80" s="60"/>
    </row>
    <row r="81" spans="2:29" ht="20.100000000000001" customHeight="1" x14ac:dyDescent="0.45">
      <c r="B81" s="60"/>
      <c r="C81" s="67"/>
      <c r="D81" s="68"/>
      <c r="E81" s="68"/>
      <c r="F81" s="68"/>
      <c r="G81" s="60"/>
      <c r="H81" s="60"/>
      <c r="I81" s="60"/>
      <c r="J81" s="60"/>
      <c r="K81" s="60"/>
      <c r="L81" s="60"/>
      <c r="M81" s="60"/>
      <c r="N81" s="60"/>
      <c r="O81" s="60"/>
      <c r="P81" s="60"/>
      <c r="Q81" s="60"/>
      <c r="R81" s="60"/>
      <c r="S81" s="60"/>
      <c r="T81" s="60"/>
      <c r="U81" s="60"/>
      <c r="V81" s="60"/>
      <c r="W81" s="60"/>
      <c r="X81" s="60"/>
      <c r="Y81" s="60"/>
      <c r="Z81" s="60"/>
      <c r="AA81" s="60"/>
      <c r="AB81" s="60"/>
      <c r="AC81" s="60"/>
    </row>
    <row r="82" spans="2:29" ht="20.100000000000001" customHeight="1" x14ac:dyDescent="0.45">
      <c r="B82" s="60"/>
      <c r="C82" s="67"/>
      <c r="D82" s="68"/>
      <c r="E82" s="68"/>
      <c r="F82" s="68"/>
      <c r="G82" s="60"/>
      <c r="H82" s="60"/>
      <c r="I82" s="60"/>
      <c r="J82" s="60"/>
      <c r="K82" s="60"/>
      <c r="L82" s="60"/>
      <c r="M82" s="60"/>
      <c r="N82" s="60"/>
      <c r="O82" s="60"/>
      <c r="P82" s="60"/>
      <c r="Q82" s="60"/>
      <c r="R82" s="60"/>
      <c r="S82" s="60"/>
      <c r="T82" s="60"/>
      <c r="U82" s="60"/>
      <c r="V82" s="60"/>
      <c r="W82" s="60"/>
      <c r="X82" s="60"/>
      <c r="Y82" s="60"/>
      <c r="Z82" s="60"/>
      <c r="AA82" s="60"/>
      <c r="AB82" s="60"/>
      <c r="AC82" s="60"/>
    </row>
    <row r="83" spans="2:29" ht="20.100000000000001" customHeight="1" x14ac:dyDescent="0.45">
      <c r="B83" s="60"/>
      <c r="C83" s="67"/>
      <c r="D83" s="68"/>
      <c r="E83" s="68"/>
      <c r="F83" s="68"/>
      <c r="G83" s="60"/>
      <c r="H83" s="60"/>
      <c r="I83" s="60"/>
      <c r="J83" s="60"/>
      <c r="K83" s="60"/>
      <c r="L83" s="60"/>
      <c r="M83" s="60"/>
      <c r="N83" s="60"/>
      <c r="O83" s="60"/>
      <c r="P83" s="60"/>
      <c r="Q83" s="60"/>
      <c r="R83" s="60"/>
      <c r="S83" s="60"/>
      <c r="T83" s="60"/>
      <c r="U83" s="60"/>
      <c r="V83" s="60"/>
      <c r="W83" s="60"/>
      <c r="X83" s="60"/>
      <c r="Y83" s="60"/>
      <c r="Z83" s="60"/>
      <c r="AA83" s="60"/>
      <c r="AB83" s="60"/>
      <c r="AC83" s="60"/>
    </row>
    <row r="84" spans="2:29" ht="20.100000000000001" customHeight="1" x14ac:dyDescent="0.45">
      <c r="B84" s="60"/>
      <c r="C84" s="67"/>
      <c r="D84" s="68"/>
      <c r="E84" s="68"/>
      <c r="F84" s="68"/>
      <c r="G84" s="60"/>
      <c r="H84" s="60"/>
      <c r="I84" s="60"/>
      <c r="J84" s="60"/>
      <c r="K84" s="60"/>
      <c r="L84" s="60"/>
      <c r="M84" s="60"/>
      <c r="N84" s="60"/>
      <c r="O84" s="60"/>
      <c r="P84" s="60"/>
      <c r="Q84" s="60"/>
      <c r="R84" s="60"/>
      <c r="S84" s="60"/>
      <c r="T84" s="60"/>
      <c r="U84" s="60"/>
      <c r="V84" s="60"/>
      <c r="W84" s="60"/>
      <c r="X84" s="60"/>
      <c r="Y84" s="60"/>
      <c r="Z84" s="60"/>
      <c r="AA84" s="60"/>
      <c r="AB84" s="60"/>
      <c r="AC84" s="60"/>
    </row>
    <row r="85" spans="2:29" ht="20.100000000000001" customHeight="1" x14ac:dyDescent="0.45">
      <c r="B85" s="60"/>
      <c r="C85" s="67"/>
      <c r="D85" s="68"/>
      <c r="E85" s="68"/>
      <c r="F85" s="68"/>
      <c r="G85" s="60"/>
      <c r="H85" s="60"/>
      <c r="I85" s="60"/>
      <c r="J85" s="60"/>
      <c r="K85" s="60"/>
      <c r="L85" s="60"/>
      <c r="M85" s="60"/>
      <c r="N85" s="60"/>
      <c r="O85" s="60"/>
      <c r="P85" s="60"/>
      <c r="Q85" s="60"/>
      <c r="R85" s="60"/>
      <c r="S85" s="60"/>
      <c r="T85" s="60"/>
      <c r="U85" s="60"/>
      <c r="V85" s="60"/>
      <c r="W85" s="60"/>
      <c r="X85" s="60"/>
      <c r="Y85" s="60"/>
      <c r="Z85" s="60"/>
      <c r="AA85" s="60"/>
      <c r="AB85" s="60"/>
      <c r="AC85" s="60"/>
    </row>
    <row r="86" spans="2:29" ht="20.100000000000001" customHeight="1" x14ac:dyDescent="0.45">
      <c r="B86" s="60"/>
      <c r="C86" s="67"/>
      <c r="D86" s="68"/>
      <c r="E86" s="68"/>
      <c r="F86" s="68"/>
      <c r="G86" s="60"/>
      <c r="H86" s="60"/>
      <c r="I86" s="60"/>
      <c r="J86" s="60"/>
      <c r="K86" s="60"/>
      <c r="L86" s="60"/>
      <c r="M86" s="60"/>
      <c r="N86" s="60"/>
      <c r="O86" s="60"/>
      <c r="P86" s="60"/>
      <c r="Q86" s="60"/>
      <c r="R86" s="60"/>
      <c r="S86" s="60"/>
      <c r="T86" s="60"/>
      <c r="U86" s="60"/>
      <c r="V86" s="60"/>
      <c r="W86" s="60"/>
      <c r="X86" s="60"/>
      <c r="Y86" s="60"/>
      <c r="Z86" s="60"/>
      <c r="AA86" s="60"/>
      <c r="AB86" s="60"/>
      <c r="AC86" s="60"/>
    </row>
    <row r="87" spans="2:29" ht="20.100000000000001" customHeight="1" x14ac:dyDescent="0.45">
      <c r="B87" s="60"/>
      <c r="C87" s="67"/>
      <c r="D87" s="68"/>
      <c r="E87" s="68"/>
      <c r="F87" s="68"/>
      <c r="G87" s="60"/>
      <c r="H87" s="60"/>
      <c r="I87" s="60"/>
      <c r="J87" s="60"/>
      <c r="K87" s="60"/>
      <c r="L87" s="60"/>
      <c r="M87" s="60"/>
      <c r="N87" s="60"/>
      <c r="O87" s="60"/>
      <c r="P87" s="60"/>
      <c r="Q87" s="60"/>
      <c r="R87" s="60"/>
      <c r="S87" s="60"/>
      <c r="T87" s="60"/>
      <c r="U87" s="60"/>
      <c r="V87" s="60"/>
      <c r="W87" s="60"/>
      <c r="X87" s="60"/>
      <c r="Y87" s="60"/>
      <c r="Z87" s="60"/>
      <c r="AA87" s="60"/>
      <c r="AB87" s="60"/>
      <c r="AC87" s="60"/>
    </row>
    <row r="88" spans="2:29" ht="20.100000000000001" customHeight="1" x14ac:dyDescent="0.45">
      <c r="B88" s="60"/>
      <c r="C88" s="69"/>
      <c r="D88" s="70"/>
      <c r="E88" s="70"/>
      <c r="F88" s="70"/>
      <c r="G88" s="60"/>
      <c r="H88" s="60"/>
      <c r="I88" s="60"/>
      <c r="J88" s="60"/>
      <c r="K88" s="60"/>
      <c r="L88" s="60"/>
      <c r="M88" s="60"/>
      <c r="N88" s="60"/>
      <c r="O88" s="60"/>
      <c r="P88" s="60"/>
      <c r="Q88" s="60"/>
      <c r="R88" s="60"/>
      <c r="S88" s="60"/>
      <c r="T88" s="60"/>
      <c r="U88" s="60"/>
      <c r="V88" s="60"/>
      <c r="W88" s="60"/>
      <c r="X88" s="60"/>
      <c r="Y88" s="60"/>
      <c r="Z88" s="60"/>
      <c r="AA88" s="60"/>
      <c r="AB88" s="60"/>
      <c r="AC88" s="60"/>
    </row>
    <row r="89" spans="2:29" ht="20.100000000000001" customHeight="1" x14ac:dyDescent="0.45">
      <c r="B89" s="60"/>
      <c r="C89" s="60"/>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row>
    <row r="90" spans="2:29" ht="20.100000000000001" customHeight="1" x14ac:dyDescent="0.45"/>
    <row r="91" spans="2:29" ht="20.100000000000001" customHeight="1" x14ac:dyDescent="0.45"/>
    <row r="92" spans="2:29" ht="20.100000000000001" customHeight="1" x14ac:dyDescent="0.45"/>
    <row r="93" spans="2:29" ht="20.100000000000001" customHeight="1" x14ac:dyDescent="0.45"/>
    <row r="94" spans="2:29" ht="20.100000000000001" customHeight="1" x14ac:dyDescent="0.45">
      <c r="M94" s="58" t="s">
        <v>107</v>
      </c>
    </row>
    <row r="95" spans="2:29" ht="20.100000000000001" customHeight="1" x14ac:dyDescent="0.45"/>
    <row r="96" spans="2:29" ht="20.100000000000001" customHeight="1" x14ac:dyDescent="0.45"/>
    <row r="97" spans="2:29" ht="20.100000000000001" customHeight="1" x14ac:dyDescent="0.45">
      <c r="B97" s="60"/>
      <c r="C97" s="60"/>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row>
    <row r="98" spans="2:29" x14ac:dyDescent="0.45">
      <c r="B98" s="60"/>
      <c r="C98" s="123" t="s">
        <v>35</v>
      </c>
      <c r="D98" s="123" t="s">
        <v>183</v>
      </c>
      <c r="E98" s="123" t="s">
        <v>184</v>
      </c>
      <c r="F98" s="123" t="s">
        <v>185</v>
      </c>
      <c r="G98" s="60"/>
      <c r="H98" s="60"/>
      <c r="I98" s="60"/>
      <c r="J98" s="60"/>
      <c r="K98" s="60"/>
      <c r="L98" s="60"/>
      <c r="M98" s="60"/>
      <c r="N98" s="60"/>
      <c r="O98" s="60"/>
      <c r="P98" s="60"/>
      <c r="Q98" s="60"/>
      <c r="R98" s="60"/>
      <c r="S98" s="60"/>
      <c r="T98" s="60"/>
      <c r="U98" s="60"/>
      <c r="V98" s="60"/>
      <c r="W98" s="60"/>
      <c r="X98" s="60"/>
      <c r="Y98" s="60"/>
      <c r="Z98" s="60"/>
      <c r="AA98" s="60"/>
      <c r="AB98" s="60"/>
      <c r="AC98" s="60"/>
    </row>
    <row r="99" spans="2:29" x14ac:dyDescent="0.45">
      <c r="B99" s="60"/>
      <c r="C99" s="123" t="s">
        <v>26</v>
      </c>
      <c r="D99" s="124">
        <v>3000</v>
      </c>
      <c r="E99" s="124">
        <v>250</v>
      </c>
      <c r="F99" s="124">
        <v>2750</v>
      </c>
      <c r="G99" s="60"/>
      <c r="H99" s="60"/>
      <c r="I99" s="60"/>
      <c r="J99" s="60"/>
      <c r="K99" s="60"/>
      <c r="L99" s="60"/>
      <c r="M99" s="60"/>
      <c r="N99" s="60"/>
      <c r="O99" s="60"/>
      <c r="P99" s="60"/>
      <c r="Q99" s="60"/>
      <c r="R99" s="60"/>
      <c r="S99" s="60"/>
      <c r="T99" s="60"/>
      <c r="U99" s="60"/>
      <c r="V99" s="60"/>
      <c r="W99" s="60"/>
      <c r="X99" s="60"/>
      <c r="Y99" s="60"/>
      <c r="Z99" s="60"/>
      <c r="AA99" s="60"/>
      <c r="AB99" s="60"/>
      <c r="AC99" s="60"/>
    </row>
    <row r="100" spans="2:29" x14ac:dyDescent="0.45">
      <c r="B100" s="60"/>
      <c r="C100" s="123" t="s">
        <v>29</v>
      </c>
      <c r="D100" s="124">
        <v>1200</v>
      </c>
      <c r="E100" s="124">
        <v>1000</v>
      </c>
      <c r="F100" s="124">
        <v>200</v>
      </c>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row>
    <row r="101" spans="2:29" x14ac:dyDescent="0.45">
      <c r="B101" s="60"/>
      <c r="C101" s="123" t="s">
        <v>28</v>
      </c>
      <c r="D101" s="124">
        <v>240</v>
      </c>
      <c r="E101" s="124">
        <v>160</v>
      </c>
      <c r="F101" s="124">
        <v>80</v>
      </c>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row>
    <row r="102" spans="2:29" x14ac:dyDescent="0.45">
      <c r="B102" s="60"/>
      <c r="C102" s="123" t="s">
        <v>30</v>
      </c>
      <c r="D102" s="124">
        <v>3600</v>
      </c>
      <c r="E102" s="124">
        <v>427</v>
      </c>
      <c r="F102" s="124">
        <v>3173</v>
      </c>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row>
    <row r="103" spans="2:29" x14ac:dyDescent="0.45">
      <c r="B103" s="60"/>
      <c r="C103" s="91"/>
      <c r="D103" s="91"/>
      <c r="E103" s="91"/>
      <c r="F103" s="91"/>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row>
    <row r="104" spans="2:29" ht="20.100000000000001" customHeight="1" x14ac:dyDescent="0.45">
      <c r="B104" s="60"/>
      <c r="C104" s="71"/>
      <c r="D104" s="71"/>
      <c r="E104" s="71"/>
      <c r="F104" s="71"/>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row>
    <row r="105" spans="2:29" ht="20.100000000000001" customHeight="1" x14ac:dyDescent="0.45">
      <c r="B105" s="60"/>
      <c r="C105" s="71"/>
      <c r="D105" s="71"/>
      <c r="E105" s="71"/>
      <c r="F105" s="71"/>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row>
    <row r="106" spans="2:29" ht="20.100000000000001" customHeight="1" x14ac:dyDescent="0.45">
      <c r="B106" s="60"/>
      <c r="C106" s="71"/>
      <c r="D106" s="71"/>
      <c r="E106" s="71"/>
      <c r="F106" s="71"/>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row>
    <row r="107" spans="2:29" ht="20.100000000000001" customHeight="1" x14ac:dyDescent="0.45">
      <c r="B107" s="60"/>
      <c r="C107" s="71"/>
      <c r="D107" s="71"/>
      <c r="E107" s="71"/>
      <c r="F107" s="71"/>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row>
    <row r="108" spans="2:29" ht="20.100000000000001" customHeight="1" x14ac:dyDescent="0.45">
      <c r="B108" s="60"/>
      <c r="C108" s="71"/>
      <c r="D108" s="71"/>
      <c r="E108" s="71"/>
      <c r="F108" s="71"/>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row>
    <row r="109" spans="2:29" ht="20.100000000000001" customHeight="1" x14ac:dyDescent="0.45">
      <c r="B109" s="60"/>
      <c r="C109" s="71"/>
      <c r="D109" s="71"/>
      <c r="E109" s="71"/>
      <c r="F109" s="71"/>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row>
    <row r="110" spans="2:29" ht="20.100000000000001" customHeight="1" x14ac:dyDescent="0.45">
      <c r="B110" s="60"/>
      <c r="C110" s="71"/>
      <c r="D110" s="71"/>
      <c r="E110" s="71"/>
      <c r="F110" s="71"/>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row>
    <row r="111" spans="2:29" ht="20.100000000000001" customHeight="1" x14ac:dyDescent="0.45">
      <c r="B111" s="60"/>
      <c r="C111" s="71"/>
      <c r="D111" s="71"/>
      <c r="E111" s="71"/>
      <c r="F111" s="71"/>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row>
    <row r="112" spans="2:29" ht="20.100000000000001" customHeight="1" x14ac:dyDescent="0.45">
      <c r="B112" s="60"/>
      <c r="C112" s="71"/>
      <c r="D112" s="71"/>
      <c r="E112" s="71"/>
      <c r="F112" s="71"/>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row>
    <row r="113" spans="2:29" ht="20.100000000000001" customHeight="1" x14ac:dyDescent="0.45">
      <c r="B113" s="60"/>
      <c r="C113" s="71"/>
      <c r="D113" s="71"/>
      <c r="E113" s="71"/>
      <c r="F113" s="71"/>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row>
    <row r="114" spans="2:29" ht="20.100000000000001" customHeight="1" x14ac:dyDescent="0.45">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row>
    <row r="115" spans="2:29" ht="20.100000000000001" customHeight="1" x14ac:dyDescent="0.45"/>
    <row r="116" spans="2:29" ht="20.100000000000001" customHeight="1" x14ac:dyDescent="0.45"/>
    <row r="117" spans="2:29" ht="20.100000000000001" customHeight="1" x14ac:dyDescent="0.45"/>
    <row r="118" spans="2:29" ht="20.100000000000001" customHeight="1" x14ac:dyDescent="0.45"/>
    <row r="119" spans="2:29" ht="20.100000000000001" customHeight="1" x14ac:dyDescent="0.45"/>
    <row r="120" spans="2:29" ht="20.100000000000001" customHeight="1" x14ac:dyDescent="0.45"/>
    <row r="121" spans="2:29" ht="20.100000000000001" customHeight="1" x14ac:dyDescent="0.45"/>
    <row r="122" spans="2:29" ht="20.100000000000001" customHeight="1" x14ac:dyDescent="0.45"/>
  </sheetData>
  <sheetProtection pivotTables="0"/>
  <mergeCells count="9">
    <mergeCell ref="I39:J39"/>
    <mergeCell ref="I6:L6"/>
    <mergeCell ref="N6:Q6"/>
    <mergeCell ref="S6:V6"/>
    <mergeCell ref="X6:AA6"/>
    <mergeCell ref="I16:K16"/>
    <mergeCell ref="U16:V16"/>
    <mergeCell ref="U25:V25"/>
    <mergeCell ref="M16:O16"/>
  </mergeCells>
  <conditionalFormatting sqref="I6:L6">
    <cfRule type="dataBar" priority="4">
      <dataBar>
        <cfvo type="num" val="0"/>
        <cfvo type="num" val="1"/>
        <color rgb="FF25344F"/>
      </dataBar>
      <extLst>
        <ext xmlns:x14="http://schemas.microsoft.com/office/spreadsheetml/2009/9/main" uri="{B025F937-C7B1-47D3-B67F-A62EFF666E3E}">
          <x14:id>{A6808176-EBCA-4D07-BB97-CEFFC3E395F1}</x14:id>
        </ext>
      </extLst>
    </cfRule>
  </conditionalFormatting>
  <conditionalFormatting sqref="N6:Q6">
    <cfRule type="dataBar" priority="3">
      <dataBar>
        <cfvo type="num" val="0"/>
        <cfvo type="num" val="1"/>
        <color rgb="FF632024"/>
      </dataBar>
      <extLst>
        <ext xmlns:x14="http://schemas.microsoft.com/office/spreadsheetml/2009/9/main" uri="{B025F937-C7B1-47D3-B67F-A62EFF666E3E}">
          <x14:id>{36DA8055-DC36-4D93-A135-9A70E9EDF751}</x14:id>
        </ext>
      </extLst>
    </cfRule>
  </conditionalFormatting>
  <conditionalFormatting sqref="S6:V6">
    <cfRule type="dataBar" priority="2">
      <dataBar>
        <cfvo type="num" val="0"/>
        <cfvo type="num" val="1"/>
        <color rgb="FF6F4D38"/>
      </dataBar>
      <extLst>
        <ext xmlns:x14="http://schemas.microsoft.com/office/spreadsheetml/2009/9/main" uri="{B025F937-C7B1-47D3-B67F-A62EFF666E3E}">
          <x14:id>{F9E36143-37BF-4129-980E-93A793342C6F}</x14:id>
        </ext>
      </extLst>
    </cfRule>
  </conditionalFormatting>
  <conditionalFormatting sqref="X6:AA6">
    <cfRule type="dataBar" priority="1">
      <dataBar>
        <cfvo type="num" val="0"/>
        <cfvo type="num" val="1"/>
        <color rgb="FF617891"/>
      </dataBar>
      <extLst>
        <ext xmlns:x14="http://schemas.microsoft.com/office/spreadsheetml/2009/9/main" uri="{B025F937-C7B1-47D3-B67F-A62EFF666E3E}">
          <x14:id>{C365EA67-AC32-4781-8349-6DF91E1F40D7}</x14:id>
        </ext>
      </extLst>
    </cfRule>
  </conditionalFormatting>
  <pageMargins left="0.7" right="0.7" top="0.75" bottom="0.75" header="0.3" footer="0.3"/>
  <drawing r:id="rId5"/>
  <extLst>
    <ext xmlns:x14="http://schemas.microsoft.com/office/spreadsheetml/2009/9/main" uri="{78C0D931-6437-407d-A8EE-F0AAD7539E65}">
      <x14:conditionalFormattings>
        <x14:conditionalFormatting xmlns:xm="http://schemas.microsoft.com/office/excel/2006/main">
          <x14:cfRule type="dataBar" id="{A6808176-EBCA-4D07-BB97-CEFFC3E395F1}">
            <x14:dataBar minLength="0" maxLength="100" gradient="0">
              <x14:cfvo type="num">
                <xm:f>0</xm:f>
              </x14:cfvo>
              <x14:cfvo type="num">
                <xm:f>1</xm:f>
              </x14:cfvo>
              <x14:negativeFillColor rgb="FFFF0000"/>
              <x14:axisColor rgb="FF000000"/>
            </x14:dataBar>
          </x14:cfRule>
          <xm:sqref>I6:L6</xm:sqref>
        </x14:conditionalFormatting>
        <x14:conditionalFormatting xmlns:xm="http://schemas.microsoft.com/office/excel/2006/main">
          <x14:cfRule type="dataBar" id="{36DA8055-DC36-4D93-A135-9A70E9EDF751}">
            <x14:dataBar minLength="0" maxLength="100" gradient="0">
              <x14:cfvo type="num">
                <xm:f>0</xm:f>
              </x14:cfvo>
              <x14:cfvo type="num">
                <xm:f>1</xm:f>
              </x14:cfvo>
              <x14:negativeFillColor rgb="FFFF0000"/>
              <x14:axisColor rgb="FF000000"/>
            </x14:dataBar>
          </x14:cfRule>
          <xm:sqref>N6:Q6</xm:sqref>
        </x14:conditionalFormatting>
        <x14:conditionalFormatting xmlns:xm="http://schemas.microsoft.com/office/excel/2006/main">
          <x14:cfRule type="dataBar" id="{F9E36143-37BF-4129-980E-93A793342C6F}">
            <x14:dataBar minLength="0" maxLength="100" gradient="0">
              <x14:cfvo type="num">
                <xm:f>0</xm:f>
              </x14:cfvo>
              <x14:cfvo type="num">
                <xm:f>1</xm:f>
              </x14:cfvo>
              <x14:negativeFillColor rgb="FFFF0000"/>
              <x14:axisColor rgb="FF000000"/>
            </x14:dataBar>
          </x14:cfRule>
          <xm:sqref>S6:V6</xm:sqref>
        </x14:conditionalFormatting>
        <x14:conditionalFormatting xmlns:xm="http://schemas.microsoft.com/office/excel/2006/main">
          <x14:cfRule type="dataBar" id="{C365EA67-AC32-4781-8349-6DF91E1F40D7}">
            <x14:dataBar minLength="0" maxLength="100" gradient="0">
              <x14:cfvo type="num">
                <xm:f>0</xm:f>
              </x14:cfvo>
              <x14:cfvo type="num">
                <xm:f>1</xm:f>
              </x14:cfvo>
              <x14:negativeFillColor rgb="FFFF0000"/>
              <x14:axisColor rgb="FF000000"/>
            </x14:dataBar>
          </x14:cfRule>
          <xm:sqref>X6:AA6</xm:sqref>
        </x14:conditionalFormatting>
      </x14:conditionalFormattings>
    </ex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D04451B6-1295-4336-A3DC-F28009CAFC5B}">
  <ds:schemaRefs>
    <ds:schemaRef ds:uri="http://gemini/pivotcustomization/4dd5c296-0f7e-4dc1-822b-4954f94eb62a"/>
  </ds:schemaRefs>
</ds:datastoreItem>
</file>

<file path=customXml/itemProps2.xml><?xml version="1.0" encoding="utf-8"?>
<ds:datastoreItem xmlns:ds="http://schemas.openxmlformats.org/officeDocument/2006/customXml" ds:itemID="{EA868604-6C92-4181-8164-A3F4A27F7D93}">
  <ds:schemaRefs>
    <ds:schemaRef ds:uri="http://gemini/pivotcustomization/d7463b8a-4291-417e-8139-0b9de6a15f81"/>
  </ds:schemaRefs>
</ds:datastoreItem>
</file>

<file path=customXml/itemProps3.xml><?xml version="1.0" encoding="utf-8"?>
<ds:datastoreItem xmlns:ds="http://schemas.openxmlformats.org/officeDocument/2006/customXml" ds:itemID="{9EC82A90-7D93-409B-80A2-2963ED94B6D2}">
  <ds:schemaRefs>
    <ds:schemaRef ds:uri="http://gemini/pivotcustomization/3a830d91-d01f-40e5-94fc-cce7109cef8c"/>
  </ds:schemaRefs>
</ds:datastoreItem>
</file>

<file path=customXml/itemProps4.xml><?xml version="1.0" encoding="utf-8"?>
<ds:datastoreItem xmlns:ds="http://schemas.openxmlformats.org/officeDocument/2006/customXml" ds:itemID="{58248D44-E075-47C6-8405-81C890E4194E}">
  <ds:schemaRefs>
    <ds:schemaRef ds:uri="http://gemini/pivotcustomization/TableXML_Table5_7b30a668-0f2b-4f20-9338-93223639609d"/>
  </ds:schemaRefs>
</ds:datastoreItem>
</file>

<file path=customXml/itemProps5.xml><?xml version="1.0" encoding="utf-8"?>
<ds:datastoreItem xmlns:ds="http://schemas.openxmlformats.org/officeDocument/2006/customXml" ds:itemID="{B1CF810B-63EE-4288-8A24-283A3B353594}">
  <ds:schemaRefs>
    <ds:schemaRef ds:uri="http://gemini/pivotcustomization/LinkedTableUpdateMode"/>
  </ds:schemaRefs>
</ds:datastoreItem>
</file>

<file path=customXml/itemProps6.xml><?xml version="1.0" encoding="utf-8"?>
<ds:datastoreItem xmlns:ds="http://schemas.openxmlformats.org/officeDocument/2006/customXml" ds:itemID="{9729AF12-30F4-4FB3-A8F6-0031BDD0C39D}">
  <ds:schemaRefs>
    <ds:schemaRef ds:uri="http://gemini/pivotcustomization/de0b017c-954a-40b3-956e-c9ff06dd46dc"/>
  </ds:schemaRefs>
</ds:datastoreItem>
</file>

<file path=customXml/itemProps7.xml><?xml version="1.0" encoding="utf-8"?>
<ds:datastoreItem xmlns:ds="http://schemas.openxmlformats.org/officeDocument/2006/customXml" ds:itemID="{BA9AF353-5489-4DD3-8138-43ED7AD25527}">
  <ds:schemaRefs>
    <ds:schemaRef ds:uri="http://gemini/pivotcustomization/fc4423a5-1ce6-49ad-8699-7fe4aea8ea09"/>
  </ds:schemaRefs>
</ds:datastoreItem>
</file>

<file path=customXml/itemProps8.xml><?xml version="1.0" encoding="utf-8"?>
<ds:datastoreItem xmlns:ds="http://schemas.openxmlformats.org/officeDocument/2006/customXml" ds:itemID="{8AF44422-44E0-40BB-9037-DCF3ECBFEB85}">
  <ds:schemaRefs>
    <ds:schemaRef ds:uri="http://gemini/pivotcustomization/ShowHidden"/>
  </ds:schemaRefs>
</ds:datastoreItem>
</file>

<file path=customXml/itemProps9.xml><?xml version="1.0" encoding="utf-8"?>
<ds:datastoreItem xmlns:ds="http://schemas.openxmlformats.org/officeDocument/2006/customXml" ds:itemID="{DEB0032F-33D6-462B-9964-AF6E7829D830}">
  <ds:schemaRefs>
    <ds:schemaRef ds:uri="http://gemini/pivotcustomization/b36400bc-8029-4ac2-8383-aceceb26e843"/>
  </ds:schemaRefs>
</ds:datastoreItem>
</file>

<file path=customXml/itemProps10.xml><?xml version="1.0" encoding="utf-8"?>
<ds:datastoreItem xmlns:ds="http://schemas.openxmlformats.org/officeDocument/2006/customXml" ds:itemID="{AB8F84AE-A49F-44BF-BDCB-31E196EA2EFC}">
  <ds:schemaRefs>
    <ds:schemaRef ds:uri="http://gemini/pivotcustomization/ShowImplicitMeasures"/>
  </ds:schemaRefs>
</ds:datastoreItem>
</file>

<file path=customXml/itemProps11.xml><?xml version="1.0" encoding="utf-8"?>
<ds:datastoreItem xmlns:ds="http://schemas.openxmlformats.org/officeDocument/2006/customXml" ds:itemID="{AD9D17F6-EDB0-4880-9054-9607408608EB}">
  <ds:schemaRefs>
    <ds:schemaRef ds:uri="http://gemini/pivotcustomization/TableXML_Calendar"/>
  </ds:schemaRefs>
</ds:datastoreItem>
</file>

<file path=customXml/itemProps12.xml><?xml version="1.0" encoding="utf-8"?>
<ds:datastoreItem xmlns:ds="http://schemas.openxmlformats.org/officeDocument/2006/customXml" ds:itemID="{B335FF20-FEED-4F47-82FD-6238DBBA3C79}">
  <ds:schemaRefs>
    <ds:schemaRef ds:uri="http://gemini/pivotcustomization/48f4574f-6894-42d6-a7f3-a7f013d4161d"/>
  </ds:schemaRefs>
</ds:datastoreItem>
</file>

<file path=customXml/itemProps13.xml><?xml version="1.0" encoding="utf-8"?>
<ds:datastoreItem xmlns:ds="http://schemas.openxmlformats.org/officeDocument/2006/customXml" ds:itemID="{D7278891-F05D-4B97-BC56-6D0D4CB3ACC7}">
  <ds:schemaRefs>
    <ds:schemaRef ds:uri="http://gemini/pivotcustomization/7085f677-5050-40b2-8e20-810e458507d2"/>
  </ds:schemaRefs>
</ds:datastoreItem>
</file>

<file path=customXml/itemProps14.xml><?xml version="1.0" encoding="utf-8"?>
<ds:datastoreItem xmlns:ds="http://schemas.openxmlformats.org/officeDocument/2006/customXml" ds:itemID="{5A26D867-3B3E-4C6A-A2E4-83E18AE5DBFE}">
  <ds:schemaRefs>
    <ds:schemaRef ds:uri="http://gemini/pivotcustomization/a44d933b-adf8-4287-9a01-e7d886b16910"/>
  </ds:schemaRefs>
</ds:datastoreItem>
</file>

<file path=customXml/itemProps15.xml><?xml version="1.0" encoding="utf-8"?>
<ds:datastoreItem xmlns:ds="http://schemas.openxmlformats.org/officeDocument/2006/customXml" ds:itemID="{F4320B06-84D8-4C60-9132-CD8A97940ADF}">
  <ds:schemaRefs>
    <ds:schemaRef ds:uri="http://gemini/pivotcustomization/TableXML_Transaction_tbl_59f3204f-20e6-4d80-bfe1-06b11b1013d8"/>
  </ds:schemaRefs>
</ds:datastoreItem>
</file>

<file path=customXml/itemProps16.xml><?xml version="1.0" encoding="utf-8"?>
<ds:datastoreItem xmlns:ds="http://schemas.openxmlformats.org/officeDocument/2006/customXml" ds:itemID="{32A6DD80-077C-4F30-B99D-83E3F3EF885D}">
  <ds:schemaRefs>
    <ds:schemaRef ds:uri="http://gemini/pivotcustomization/TableXML_Category_Sub_401c5819-4a54-4c0e-b57a-b96708de86f1"/>
  </ds:schemaRefs>
</ds:datastoreItem>
</file>

<file path=customXml/itemProps17.xml><?xml version="1.0" encoding="utf-8"?>
<ds:datastoreItem xmlns:ds="http://schemas.openxmlformats.org/officeDocument/2006/customXml" ds:itemID="{6A9D2BEC-C148-4DC7-8A64-961EEFF11522}">
  <ds:schemaRefs>
    <ds:schemaRef ds:uri="http://gemini/pivotcustomization/TableXML_Month_Sub_e3de9183-3d38-4842-bf8a-b94f95ddd589"/>
  </ds:schemaRefs>
</ds:datastoreItem>
</file>

<file path=customXml/itemProps18.xml><?xml version="1.0" encoding="utf-8"?>
<ds:datastoreItem xmlns:ds="http://schemas.openxmlformats.org/officeDocument/2006/customXml" ds:itemID="{E813A31D-A8D6-452E-9AA9-ABBD41ADB446}">
  <ds:schemaRefs>
    <ds:schemaRef ds:uri="http://gemini/pivotcustomization/2dfc2257-a919-4b21-9127-b0a2493ebaf0"/>
  </ds:schemaRefs>
</ds:datastoreItem>
</file>

<file path=customXml/itemProps19.xml><?xml version="1.0" encoding="utf-8"?>
<ds:datastoreItem xmlns:ds="http://schemas.openxmlformats.org/officeDocument/2006/customXml" ds:itemID="{C509D235-806F-4E82-9BFE-FB1450AEA31F}">
  <ds:schemaRefs>
    <ds:schemaRef ds:uri="http://gemini/pivotcustomization/14aabd01-0912-4687-8813-72c72e8549f7"/>
  </ds:schemaRefs>
</ds:datastoreItem>
</file>

<file path=customXml/itemProps20.xml><?xml version="1.0" encoding="utf-8"?>
<ds:datastoreItem xmlns:ds="http://schemas.openxmlformats.org/officeDocument/2006/customXml" ds:itemID="{36C8A4D3-419D-4147-96B0-52335FE619FE}">
  <ds:schemaRefs>
    <ds:schemaRef ds:uri="http://gemini/pivotcustomization/3ceb1ddb-73e2-4a8b-bffc-3fce171e3a5b"/>
  </ds:schemaRefs>
</ds:datastoreItem>
</file>

<file path=customXml/itemProps21.xml><?xml version="1.0" encoding="utf-8"?>
<ds:datastoreItem xmlns:ds="http://schemas.openxmlformats.org/officeDocument/2006/customXml" ds:itemID="{470CB477-1950-4CD0-938C-893C66CBE54F}">
  <ds:schemaRefs>
    <ds:schemaRef ds:uri="http://gemini/pivotcustomization/FormulaBarState"/>
  </ds:schemaRefs>
</ds:datastoreItem>
</file>

<file path=customXml/itemProps22.xml><?xml version="1.0" encoding="utf-8"?>
<ds:datastoreItem xmlns:ds="http://schemas.openxmlformats.org/officeDocument/2006/customXml" ds:itemID="{CE9BC5C7-8E53-4392-B2DF-B432A1568293}">
  <ds:schemaRefs>
    <ds:schemaRef ds:uri="http://gemini/pivotcustomization/ManualCalcMode"/>
  </ds:schemaRefs>
</ds:datastoreItem>
</file>

<file path=customXml/itemProps23.xml><?xml version="1.0" encoding="utf-8"?>
<ds:datastoreItem xmlns:ds="http://schemas.openxmlformats.org/officeDocument/2006/customXml" ds:itemID="{4E12126F-3C36-40F7-8467-C48BF6F33093}">
  <ds:schemaRefs>
    <ds:schemaRef ds:uri="http://gemini/pivotcustomization/TableXML_Piv_Merge_97db1f78-d23e-489e-a227-4e44d304e097"/>
  </ds:schemaRefs>
</ds:datastoreItem>
</file>

<file path=customXml/itemProps24.xml><?xml version="1.0" encoding="utf-8"?>
<ds:datastoreItem xmlns:ds="http://schemas.openxmlformats.org/officeDocument/2006/customXml" ds:itemID="{B7A010F2-32AE-46B3-B582-4FB6D717B5A4}">
  <ds:schemaRefs>
    <ds:schemaRef ds:uri="http://gemini/pivotcustomization/4abd5623-78f8-464a-a272-524f7c4d3240"/>
  </ds:schemaRefs>
</ds:datastoreItem>
</file>

<file path=customXml/itemProps25.xml><?xml version="1.0" encoding="utf-8"?>
<ds:datastoreItem xmlns:ds="http://schemas.openxmlformats.org/officeDocument/2006/customXml" ds:itemID="{38254A0A-D65A-4D10-82EF-4B66FA89ED32}">
  <ds:schemaRefs>
    <ds:schemaRef ds:uri="http://schemas.microsoft.com/DataMashup"/>
  </ds:schemaRefs>
</ds:datastoreItem>
</file>

<file path=customXml/itemProps26.xml><?xml version="1.0" encoding="utf-8"?>
<ds:datastoreItem xmlns:ds="http://schemas.openxmlformats.org/officeDocument/2006/customXml" ds:itemID="{E4DF016F-72BE-4A6B-8590-AE885437DCAB}">
  <ds:schemaRefs/>
</ds:datastoreItem>
</file>

<file path=customXml/itemProps27.xml><?xml version="1.0" encoding="utf-8"?>
<ds:datastoreItem xmlns:ds="http://schemas.openxmlformats.org/officeDocument/2006/customXml" ds:itemID="{7418014B-C585-4139-9213-928C6CADAFE9}">
  <ds:schemaRefs/>
</ds:datastoreItem>
</file>

<file path=customXml/itemProps28.xml><?xml version="1.0" encoding="utf-8"?>
<ds:datastoreItem xmlns:ds="http://schemas.openxmlformats.org/officeDocument/2006/customXml" ds:itemID="{390B9651-805D-4B33-B9DC-245F15AFAB16}">
  <ds:schemaRefs/>
</ds:datastoreItem>
</file>

<file path=customXml/itemProps29.xml><?xml version="1.0" encoding="utf-8"?>
<ds:datastoreItem xmlns:ds="http://schemas.openxmlformats.org/officeDocument/2006/customXml" ds:itemID="{7BC66E9B-5C9C-44CA-87F1-A9D96061781F}">
  <ds:schemaRefs/>
</ds:datastoreItem>
</file>

<file path=customXml/itemProps30.xml><?xml version="1.0" encoding="utf-8"?>
<ds:datastoreItem xmlns:ds="http://schemas.openxmlformats.org/officeDocument/2006/customXml" ds:itemID="{4ADF7D91-5172-43DD-9111-2A8C58D23EA9}">
  <ds:schemaRefs/>
</ds:datastoreItem>
</file>

<file path=customXml/itemProps31.xml><?xml version="1.0" encoding="utf-8"?>
<ds:datastoreItem xmlns:ds="http://schemas.openxmlformats.org/officeDocument/2006/customXml" ds:itemID="{8C1BDB54-8E4D-4308-A477-3EFB4ADBC3E2}">
  <ds:schemaRefs/>
</ds:datastoreItem>
</file>

<file path=customXml/itemProps32.xml><?xml version="1.0" encoding="utf-8"?>
<ds:datastoreItem xmlns:ds="http://schemas.openxmlformats.org/officeDocument/2006/customXml" ds:itemID="{32B18F1F-BA9E-4A8D-A168-ED94D6E5A1FC}">
  <ds:schemaRefs/>
</ds:datastoreItem>
</file>

<file path=customXml/itemProps33.xml><?xml version="1.0" encoding="utf-8"?>
<ds:datastoreItem xmlns:ds="http://schemas.openxmlformats.org/officeDocument/2006/customXml" ds:itemID="{EEAC2936-2E35-4498-B08A-B63C54E4ADE3}">
  <ds:schemaRefs/>
</ds:datastoreItem>
</file>

<file path=customXml/itemProps34.xml><?xml version="1.0" encoding="utf-8"?>
<ds:datastoreItem xmlns:ds="http://schemas.openxmlformats.org/officeDocument/2006/customXml" ds:itemID="{73989E3E-BC54-44C0-A631-E27656198DD5}">
  <ds:schemaRefs/>
</ds:datastoreItem>
</file>

<file path=customXml/itemProps35.xml><?xml version="1.0" encoding="utf-8"?>
<ds:datastoreItem xmlns:ds="http://schemas.openxmlformats.org/officeDocument/2006/customXml" ds:itemID="{6B0C4E16-D361-45CA-B9ED-D0B0A81F22F4}">
  <ds:schemaRefs/>
</ds:datastoreItem>
</file>

<file path=customXml/itemProps36.xml><?xml version="1.0" encoding="utf-8"?>
<ds:datastoreItem xmlns:ds="http://schemas.openxmlformats.org/officeDocument/2006/customXml" ds:itemID="{9B6DD084-20FD-4B23-9424-FF368A5A71A0}">
  <ds:schemaRefs/>
</ds:datastoreItem>
</file>

<file path=customXml/itemProps37.xml><?xml version="1.0" encoding="utf-8"?>
<ds:datastoreItem xmlns:ds="http://schemas.openxmlformats.org/officeDocument/2006/customXml" ds:itemID="{A78986E1-9AB0-4B4F-AE3F-F8B34BD6E9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Initial_Set-Up</vt:lpstr>
      <vt:lpstr>Backend</vt:lpstr>
      <vt:lpstr>Budget</vt:lpstr>
      <vt:lpstr>Transactions</vt:lpstr>
      <vt:lpstr>Dashboard</vt:lpstr>
      <vt:lpstr>Currency</vt:lpstr>
      <vt:lpstr>Debt</vt:lpstr>
      <vt:lpstr>Expenses</vt:lpstr>
      <vt:lpstr>Income</vt:lpstr>
      <vt:lpstr>Name</vt:lpstr>
      <vt:lpstr>Savings_Investments</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Winnie Hanielle Tchigui Toukam</dc:creator>
  <cp:keywords/>
  <dc:description/>
  <cp:lastModifiedBy>Winnie Hanielle Tchigui Toukam</cp:lastModifiedBy>
  <cp:revision/>
  <dcterms:created xsi:type="dcterms:W3CDTF">2025-08-23T16:24:46Z</dcterms:created>
  <dcterms:modified xsi:type="dcterms:W3CDTF">2026-01-29T13:19:53Z</dcterms:modified>
  <cp:category/>
  <cp:contentStatus/>
</cp:coreProperties>
</file>