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mendeze/Documents/UW/02_teaching/00_courses/mendez_meek_2021/02_code/studio2021/data/"/>
    </mc:Choice>
  </mc:AlternateContent>
  <xr:revisionPtr revIDLastSave="0" documentId="13_ncr:1_{82057922-E387-3F44-912B-30482BDAADF9}" xr6:coauthVersionLast="45" xr6:coauthVersionMax="45" xr10:uidLastSave="{00000000-0000-0000-0000-000000000000}"/>
  <bookViews>
    <workbookView xWindow="0" yWindow="460" windowWidth="40960" windowHeight="22020" xr2:uid="{00000000-000D-0000-FFFF-FFFF00000000}"/>
  </bookViews>
  <sheets>
    <sheet name="Attributes" sheetId="8" r:id="rId1"/>
    <sheet name="Sheet1" sheetId="9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8" l="1"/>
  <c r="E38" i="8"/>
  <c r="L33" i="8"/>
  <c r="L31" i="8"/>
  <c r="L30" i="8"/>
  <c r="L32" i="8"/>
  <c r="E32" i="8"/>
  <c r="E33" i="8"/>
  <c r="D51" i="8"/>
  <c r="E52" i="8"/>
  <c r="E51" i="8"/>
  <c r="E54" i="8"/>
  <c r="D34" i="8"/>
  <c r="G28" i="8"/>
  <c r="F28" i="8"/>
  <c r="D28" i="8"/>
  <c r="E34" i="8"/>
  <c r="N14" i="8"/>
  <c r="O14" i="8"/>
  <c r="E11" i="8"/>
  <c r="E53" i="8"/>
  <c r="E14" i="8"/>
  <c r="E46" i="8"/>
  <c r="E21" i="8"/>
  <c r="E24" i="8"/>
  <c r="E44" i="8"/>
  <c r="E13" i="8"/>
  <c r="E15" i="8"/>
  <c r="E40" i="8"/>
  <c r="E9" i="8"/>
  <c r="E22" i="8"/>
  <c r="N15" i="8"/>
  <c r="O15" i="8"/>
  <c r="N16" i="8"/>
  <c r="O16" i="8"/>
  <c r="E39" i="8"/>
  <c r="F24" i="8"/>
  <c r="F39" i="8"/>
  <c r="G24" i="8"/>
  <c r="G39" i="8"/>
  <c r="F11" i="8"/>
  <c r="F14" i="8"/>
  <c r="F13" i="8"/>
  <c r="F15" i="8"/>
  <c r="F40" i="8"/>
  <c r="G11" i="8"/>
  <c r="G14" i="8"/>
  <c r="G13" i="8"/>
  <c r="G15" i="8"/>
  <c r="G40" i="8"/>
  <c r="F51" i="8"/>
  <c r="G51" i="8"/>
  <c r="D24" i="8"/>
  <c r="E47" i="8"/>
  <c r="F46" i="8"/>
  <c r="F47" i="8"/>
  <c r="G46" i="8"/>
  <c r="G47" i="8"/>
  <c r="D11" i="8"/>
  <c r="D14" i="8"/>
  <c r="D46" i="8"/>
  <c r="D13" i="8"/>
  <c r="D15" i="8"/>
  <c r="D40" i="8"/>
  <c r="D39" i="8"/>
  <c r="D47" i="8"/>
  <c r="E45" i="8"/>
  <c r="F21" i="8"/>
  <c r="F44" i="8"/>
  <c r="F45" i="8"/>
  <c r="G21" i="8"/>
  <c r="G44" i="8"/>
  <c r="G45" i="8"/>
  <c r="D21" i="8"/>
  <c r="D44" i="8"/>
  <c r="D45" i="8"/>
  <c r="F9" i="8"/>
  <c r="G9" i="8"/>
  <c r="D9" i="8"/>
  <c r="F22" i="8"/>
  <c r="F32" i="8"/>
  <c r="G22" i="8"/>
  <c r="G32" i="8"/>
  <c r="D22" i="8"/>
  <c r="D32" i="8"/>
  <c r="F54" i="8"/>
  <c r="G54" i="8"/>
  <c r="D54" i="8"/>
  <c r="D38" i="8"/>
  <c r="F53" i="8"/>
  <c r="G53" i="8"/>
  <c r="D53" i="8"/>
  <c r="F34" i="8"/>
  <c r="G34" i="8"/>
  <c r="D33" i="8"/>
  <c r="F52" i="8"/>
  <c r="G52" i="8"/>
  <c r="D52" i="8"/>
  <c r="F38" i="8"/>
  <c r="G38" i="8"/>
  <c r="D19" i="8"/>
  <c r="E16" i="8"/>
  <c r="F16" i="8"/>
  <c r="G16" i="8"/>
  <c r="D16" i="8"/>
  <c r="F33" i="8"/>
  <c r="G33" i="8"/>
  <c r="E19" i="8"/>
  <c r="F19" i="8"/>
  <c r="G19" i="8"/>
  <c r="E27" i="8"/>
  <c r="F27" i="8"/>
  <c r="G27" i="8"/>
  <c r="D27" i="8"/>
</calcChain>
</file>

<file path=xl/sharedStrings.xml><?xml version="1.0" encoding="utf-8"?>
<sst xmlns="http://schemas.openxmlformats.org/spreadsheetml/2006/main" count="154" uniqueCount="106">
  <si>
    <t>Concept Level Briefs</t>
  </si>
  <si>
    <t>Gross Square Footage (GSF)</t>
  </si>
  <si>
    <t>ENERGY DEMAND</t>
  </si>
  <si>
    <t>Total kBTU-yr</t>
  </si>
  <si>
    <t>ENERGY SUPPLY</t>
  </si>
  <si>
    <t>Total kBTU-yr from Solar</t>
  </si>
  <si>
    <t>Building EUI req'd for Net Zero</t>
  </si>
  <si>
    <t>WATER DEMAND</t>
  </si>
  <si>
    <t>WATER SUPPLY</t>
  </si>
  <si>
    <t>Percent non-potable water met with rain</t>
  </si>
  <si>
    <t>ECONOMY</t>
  </si>
  <si>
    <t>Annual net revenue from building</t>
  </si>
  <si>
    <t>%</t>
  </si>
  <si>
    <t>kBTU/ft²-yr</t>
  </si>
  <si>
    <t>kBTU-yr</t>
  </si>
  <si>
    <t>1. Experience Focus</t>
  </si>
  <si>
    <t>2. Ecology Focus</t>
  </si>
  <si>
    <t>3. Economy Focus</t>
  </si>
  <si>
    <t>4. Preferred</t>
  </si>
  <si>
    <t>SCALE AND PROGRAM</t>
  </si>
  <si>
    <t>$/yr</t>
  </si>
  <si>
    <r>
      <t>ft</t>
    </r>
    <r>
      <rPr>
        <sz val="16"/>
        <color theme="1"/>
        <rFont val="Calibri"/>
        <family val="2"/>
      </rPr>
      <t>²</t>
    </r>
  </si>
  <si>
    <r>
      <t>Whole Building EUI (kBTU/ft</t>
    </r>
    <r>
      <rPr>
        <sz val="16"/>
        <color theme="1"/>
        <rFont val="Calibri"/>
        <family val="2"/>
      </rPr>
      <t>²-yr)</t>
    </r>
  </si>
  <si>
    <r>
      <t>Net revenue/ft</t>
    </r>
    <r>
      <rPr>
        <sz val="16"/>
        <color theme="1"/>
        <rFont val="Calibri"/>
        <family val="2"/>
      </rPr>
      <t>² leaseable (assume 85%)</t>
    </r>
  </si>
  <si>
    <r>
      <t>$/ft</t>
    </r>
    <r>
      <rPr>
        <sz val="16"/>
        <color theme="1"/>
        <rFont val="Calibri"/>
        <family val="2"/>
      </rPr>
      <t>²-yr</t>
    </r>
  </si>
  <si>
    <t>Group Names:</t>
  </si>
  <si>
    <t>% (assume some non-potable)</t>
  </si>
  <si>
    <t>occupants/sf</t>
  </si>
  <si>
    <t>office</t>
  </si>
  <si>
    <t>residential</t>
  </si>
  <si>
    <t>occupants - residential</t>
  </si>
  <si>
    <t>occupants - office</t>
  </si>
  <si>
    <t>people</t>
  </si>
  <si>
    <t>retail</t>
  </si>
  <si>
    <t>occupants - retail</t>
  </si>
  <si>
    <t>WUI - PortfolioManager</t>
  </si>
  <si>
    <t>gl/yr/ft</t>
  </si>
  <si>
    <r>
      <t>Whole Building Water Demand (kGal./</t>
    </r>
    <r>
      <rPr>
        <sz val="16"/>
        <color theme="1"/>
        <rFont val="Calibri"/>
        <family val="2"/>
      </rPr>
      <t>yr)</t>
    </r>
  </si>
  <si>
    <r>
      <t>kGal./</t>
    </r>
    <r>
      <rPr>
        <sz val="16"/>
        <color theme="1"/>
        <rFont val="Calibri"/>
        <family val="2"/>
      </rPr>
      <t>yr</t>
    </r>
  </si>
  <si>
    <t>irrigation</t>
  </si>
  <si>
    <t>gal/yr/ft</t>
  </si>
  <si>
    <t>EUI - Seattle Energy Code 2015 TPP</t>
  </si>
  <si>
    <t>Retail (%)</t>
  </si>
  <si>
    <t>Retail (ft²)</t>
  </si>
  <si>
    <t>Office (%)</t>
  </si>
  <si>
    <t>Residential (%)</t>
  </si>
  <si>
    <t>outdoor amenity (%)</t>
  </si>
  <si>
    <t>kwh/m2/day</t>
  </si>
  <si>
    <t>kwh/m2/yr</t>
  </si>
  <si>
    <t>kwh to kbtu</t>
  </si>
  <si>
    <t>m2 to ft 2</t>
  </si>
  <si>
    <t>solar efficiency 20%</t>
  </si>
  <si>
    <t>kwh/ft2/yr</t>
  </si>
  <si>
    <t>kbtu/ft2/</t>
  </si>
  <si>
    <t>Size of PV array needed net-zero</t>
  </si>
  <si>
    <t>Solar Production</t>
  </si>
  <si>
    <t>PV (%)</t>
  </si>
  <si>
    <t>Office (ft²)</t>
  </si>
  <si>
    <t>Residential (ft²)</t>
  </si>
  <si>
    <t>Site (ft²)</t>
  </si>
  <si>
    <t>outdoor amenity (ft²)</t>
  </si>
  <si>
    <t>PV gross (ft²)</t>
  </si>
  <si>
    <t>PV net (ft²) (10% for circ/maint)</t>
  </si>
  <si>
    <t>Green roof (ft²)</t>
  </si>
  <si>
    <t>Green roof/urban farm (%)</t>
  </si>
  <si>
    <t>Estimated rainwater capture (kGal./yr)</t>
  </si>
  <si>
    <t>Seattle annual rainfall</t>
  </si>
  <si>
    <t>inches</t>
  </si>
  <si>
    <t xml:space="preserve">PV collection factor </t>
  </si>
  <si>
    <t>green roof collection factor</t>
  </si>
  <si>
    <t>Irrigation water demand (kGal./yr)</t>
  </si>
  <si>
    <t>$/ft²/month</t>
  </si>
  <si>
    <t>$/ft²/yr</t>
  </si>
  <si>
    <t>$/ft² per Martin Selig for 2019</t>
  </si>
  <si>
    <t xml:space="preserve"> 2015 TPP</t>
  </si>
  <si>
    <t>per NREL</t>
  </si>
  <si>
    <t>income-residential</t>
  </si>
  <si>
    <t>income-office</t>
  </si>
  <si>
    <t>cost-office</t>
  </si>
  <si>
    <t>$/ft²</t>
  </si>
  <si>
    <t>cost-residential</t>
  </si>
  <si>
    <t>Building Cost - Office</t>
  </si>
  <si>
    <t>Building Cost - Residential</t>
  </si>
  <si>
    <t>Greywater produced</t>
  </si>
  <si>
    <t>greywater produced</t>
  </si>
  <si>
    <t>https://www.energystar.gov/sites/default/files/buildings/tools/DataTrends_Water_20121002.pdf</t>
  </si>
  <si>
    <t>$</t>
  </si>
  <si>
    <t>kGal/yr/occupant</t>
  </si>
  <si>
    <t>Flush (non-potable)</t>
  </si>
  <si>
    <t>Flush fixtures (can be met w/ non-potable)</t>
  </si>
  <si>
    <t>https://www.urbnlivn.com/2017/04/07/cost-build-high-rise-condo/</t>
  </si>
  <si>
    <t>LBPP(25% saving)</t>
  </si>
  <si>
    <t>Conventional</t>
  </si>
  <si>
    <t>High Efficiency</t>
  </si>
  <si>
    <t>additional 50% savings</t>
  </si>
  <si>
    <t>cost increase</t>
  </si>
  <si>
    <t>ft²</t>
  </si>
  <si>
    <t>https://maps.nrel.gov/nsrdb-viewer/?aL=v7bcnr%255Bv%255D%3Dt%26v7bcnr%255Bd%255D%3D1&amp;bL=clight&amp;cE=0&amp;lR=0&amp;mC=47.60289334204426%2C-122.31988906860352&amp;zL=15</t>
  </si>
  <si>
    <t>from day to year</t>
  </si>
  <si>
    <t>from m2 to ft2</t>
  </si>
  <si>
    <t>from kWh to kBtu</t>
  </si>
  <si>
    <t>http://www.seattle.gov/documents/Departments/SDCI/Codes/SeattleEnergyCode/2015SECCommercialChapter4.pdf</t>
  </si>
  <si>
    <t>C401.3.2 Energy Use Targets</t>
  </si>
  <si>
    <t>escalated by 5%/yr for 2 years</t>
  </si>
  <si>
    <t>WUI w/ high efficiency fixtures</t>
  </si>
  <si>
    <t>Percent non-potable water met with greywater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</si>
</sst>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"/>
    <numFmt numFmtId="167" formatCode="&quot;$&quot;#,##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4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Alignment="1">
      <alignment horizontal="left"/>
    </xf>
    <xf numFmtId="0" fontId="7" fillId="0" borderId="0" xfId="1"/>
    <xf numFmtId="0" fontId="1" fillId="0" borderId="0" xfId="0" applyFont="1" applyFill="1" applyBorder="1"/>
    <xf numFmtId="2" fontId="1" fillId="0" borderId="0" xfId="0" applyNumberFormat="1" applyFont="1"/>
    <xf numFmtId="0" fontId="1" fillId="0" borderId="0" xfId="0" applyFont="1" applyBorder="1" applyAlignment="1">
      <alignment horizontal="left"/>
    </xf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4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6" xfId="0" applyFont="1" applyFill="1" applyBorder="1"/>
    <xf numFmtId="0" fontId="0" fillId="0" borderId="13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9" xfId="0" applyFont="1" applyBorder="1"/>
    <xf numFmtId="0" fontId="0" fillId="0" borderId="7" xfId="0" applyFont="1" applyBorder="1"/>
    <xf numFmtId="0" fontId="0" fillId="0" borderId="0" xfId="0" applyFont="1" applyFill="1" applyBorder="1"/>
    <xf numFmtId="9" fontId="0" fillId="0" borderId="0" xfId="0" applyNumberFormat="1" applyFont="1" applyFill="1" applyBorder="1"/>
    <xf numFmtId="9" fontId="0" fillId="0" borderId="0" xfId="0" applyNumberFormat="1" applyFont="1"/>
    <xf numFmtId="2" fontId="0" fillId="0" borderId="4" xfId="0" applyNumberFormat="1" applyFont="1" applyBorder="1"/>
    <xf numFmtId="2" fontId="0" fillId="0" borderId="10" xfId="0" applyNumberFormat="1" applyFont="1" applyBorder="1"/>
    <xf numFmtId="0" fontId="7" fillId="0" borderId="8" xfId="1" applyFont="1" applyBorder="1"/>
    <xf numFmtId="0" fontId="0" fillId="0" borderId="2" xfId="0" applyFont="1" applyFill="1" applyBorder="1"/>
    <xf numFmtId="0" fontId="0" fillId="0" borderId="4" xfId="0" applyFont="1" applyFill="1" applyBorder="1"/>
    <xf numFmtId="0" fontId="7" fillId="0" borderId="0" xfId="1" applyFont="1"/>
    <xf numFmtId="3" fontId="1" fillId="2" borderId="1" xfId="0" applyNumberFormat="1" applyFont="1" applyFill="1" applyBorder="1"/>
    <xf numFmtId="164" fontId="1" fillId="2" borderId="1" xfId="0" applyNumberFormat="1" applyFont="1" applyFill="1" applyBorder="1"/>
    <xf numFmtId="166" fontId="1" fillId="0" borderId="1" xfId="0" applyNumberFormat="1" applyFont="1" applyBorder="1"/>
    <xf numFmtId="0" fontId="6" fillId="0" borderId="0" xfId="0" applyFont="1"/>
    <xf numFmtId="167" fontId="1" fillId="0" borderId="1" xfId="0" applyNumberFormat="1" applyFont="1" applyBorder="1"/>
    <xf numFmtId="3" fontId="1" fillId="0" borderId="1" xfId="0" applyNumberFormat="1" applyFont="1" applyFill="1" applyBorder="1"/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nrel.gov/nsrdb-viewer/?aL=v7bcnr%255Bv%255D%3Dt%26v7bcnr%255Bd%255D%3D1&amp;bL=clight&amp;cE=0&amp;lR=0&amp;mC=47.60289334204426%2C-122.31988906860352&amp;zL=15" TargetMode="External"/><Relationship Id="rId2" Type="http://schemas.openxmlformats.org/officeDocument/2006/relationships/hyperlink" Target="https://www.urbnlivn.com/2017/04/07/cost-build-high-rise-condo/" TargetMode="External"/><Relationship Id="rId1" Type="http://schemas.openxmlformats.org/officeDocument/2006/relationships/hyperlink" Target="https://www.energystar.gov/sites/default/files/buildings/tools/DataTrends_Water_2012100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eattle.gov/documents/Departments/SDCI/Codes/SeattleEnergyCode/2015SECCommercialChapter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U59"/>
  <sheetViews>
    <sheetView tabSelected="1" topLeftCell="A12" zoomScale="80" zoomScaleNormal="80" workbookViewId="0">
      <selection activeCell="K21" sqref="K21"/>
    </sheetView>
  </sheetViews>
  <sheetFormatPr baseColWidth="10" defaultColWidth="8.83203125" defaultRowHeight="15" x14ac:dyDescent="0.2"/>
  <cols>
    <col min="3" max="3" width="54.5" customWidth="1"/>
    <col min="4" max="4" width="22.1640625" customWidth="1"/>
    <col min="5" max="5" width="20.33203125" customWidth="1"/>
    <col min="6" max="6" width="20.5" customWidth="1"/>
    <col min="7" max="7" width="21" customWidth="1"/>
    <col min="11" max="11" width="19.1640625" customWidth="1"/>
    <col min="12" max="12" width="28" customWidth="1"/>
    <col min="13" max="13" width="11.5" customWidth="1"/>
    <col min="14" max="14" width="17.6640625" customWidth="1"/>
    <col min="15" max="15" width="20.1640625" customWidth="1"/>
    <col min="16" max="16" width="11.6640625" customWidth="1"/>
    <col min="17" max="17" width="13.6640625" customWidth="1"/>
    <col min="19" max="19" width="20.33203125" customWidth="1"/>
    <col min="21" max="21" width="19" customWidth="1"/>
    <col min="22" max="22" width="12.33203125" customWidth="1"/>
  </cols>
  <sheetData>
    <row r="3" spans="2:21" ht="19" x14ac:dyDescent="0.25">
      <c r="B3" s="4" t="s">
        <v>25</v>
      </c>
      <c r="C3" s="4"/>
      <c r="D3" s="49" t="s">
        <v>0</v>
      </c>
      <c r="E3" s="49"/>
      <c r="F3" s="49"/>
      <c r="G3" s="49"/>
      <c r="H3" s="4"/>
      <c r="I3" s="4"/>
      <c r="J3" s="4"/>
    </row>
    <row r="4" spans="2:21" ht="19" x14ac:dyDescent="0.25">
      <c r="B4" s="4"/>
      <c r="C4" s="4"/>
      <c r="D4" s="4"/>
      <c r="E4" s="4"/>
      <c r="F4" s="4"/>
      <c r="G4" s="4"/>
      <c r="H4" s="4"/>
      <c r="I4" s="4"/>
      <c r="J4" s="4"/>
    </row>
    <row r="5" spans="2:21" ht="21" x14ac:dyDescent="0.25">
      <c r="C5" s="1"/>
      <c r="D5" s="1"/>
      <c r="E5" s="1"/>
      <c r="F5" s="1"/>
      <c r="G5" s="1"/>
      <c r="H5" s="1"/>
      <c r="I5" s="4"/>
      <c r="J5" s="4"/>
    </row>
    <row r="6" spans="2:21" ht="44" x14ac:dyDescent="0.25">
      <c r="B6" s="6" t="s">
        <v>19</v>
      </c>
      <c r="C6" s="1"/>
      <c r="D6" s="5" t="s">
        <v>15</v>
      </c>
      <c r="E6" s="5" t="s">
        <v>16</v>
      </c>
      <c r="F6" s="5" t="s">
        <v>17</v>
      </c>
      <c r="G6" s="5" t="s">
        <v>18</v>
      </c>
      <c r="H6" s="1"/>
      <c r="I6" s="4"/>
      <c r="J6" s="4"/>
    </row>
    <row r="7" spans="2:21" ht="22" thickBot="1" x14ac:dyDescent="0.3">
      <c r="B7" s="47" t="s">
        <v>1</v>
      </c>
      <c r="C7" s="48"/>
      <c r="D7" s="39"/>
      <c r="E7" s="39">
        <v>50000</v>
      </c>
      <c r="F7" s="39"/>
      <c r="G7" s="39"/>
      <c r="H7" s="1" t="s">
        <v>21</v>
      </c>
      <c r="I7" s="4"/>
      <c r="J7" s="4"/>
      <c r="L7" s="16" t="s">
        <v>27</v>
      </c>
      <c r="M7" s="17"/>
      <c r="N7" s="18"/>
      <c r="O7" s="18"/>
      <c r="P7" s="18"/>
      <c r="Q7" s="18"/>
      <c r="R7" s="18"/>
      <c r="S7" s="18"/>
      <c r="T7" s="18"/>
      <c r="U7" s="18"/>
    </row>
    <row r="8" spans="2:21" ht="21" x14ac:dyDescent="0.25">
      <c r="B8" s="50" t="s">
        <v>42</v>
      </c>
      <c r="C8" s="51"/>
      <c r="D8" s="40"/>
      <c r="E8" s="40">
        <v>0.2</v>
      </c>
      <c r="F8" s="40"/>
      <c r="G8" s="40"/>
      <c r="H8" s="1" t="s">
        <v>12</v>
      </c>
      <c r="I8" s="4"/>
      <c r="J8" s="4"/>
      <c r="L8" s="19" t="s">
        <v>28</v>
      </c>
      <c r="M8" s="20">
        <v>140</v>
      </c>
      <c r="N8" s="18"/>
      <c r="O8" s="18"/>
      <c r="P8" s="18"/>
      <c r="Q8" s="18"/>
      <c r="R8" s="18"/>
      <c r="S8" s="18"/>
      <c r="T8" s="18"/>
      <c r="U8" s="18"/>
    </row>
    <row r="9" spans="2:21" ht="21" x14ac:dyDescent="0.25">
      <c r="B9" s="50" t="s">
        <v>43</v>
      </c>
      <c r="C9" s="51"/>
      <c r="D9" s="10">
        <f>D7*D8</f>
        <v>0</v>
      </c>
      <c r="E9" s="10">
        <f t="shared" ref="E9:G9" si="0">E7*E8</f>
        <v>10000</v>
      </c>
      <c r="F9" s="10">
        <f t="shared" si="0"/>
        <v>0</v>
      </c>
      <c r="G9" s="10">
        <f t="shared" si="0"/>
        <v>0</v>
      </c>
      <c r="H9" s="1" t="s">
        <v>21</v>
      </c>
      <c r="I9" s="4"/>
      <c r="J9" s="4"/>
      <c r="L9" s="19" t="s">
        <v>29</v>
      </c>
      <c r="M9" s="21">
        <v>500</v>
      </c>
      <c r="N9" s="18"/>
      <c r="O9" s="18"/>
      <c r="P9" s="18"/>
      <c r="Q9" s="18"/>
      <c r="R9" s="18"/>
      <c r="S9" s="18"/>
      <c r="T9" s="18"/>
      <c r="U9" s="18"/>
    </row>
    <row r="10" spans="2:21" ht="22" thickBot="1" x14ac:dyDescent="0.3">
      <c r="B10" s="50" t="s">
        <v>44</v>
      </c>
      <c r="C10" s="51"/>
      <c r="D10" s="40"/>
      <c r="E10" s="40">
        <v>0.6</v>
      </c>
      <c r="F10" s="40"/>
      <c r="G10" s="40"/>
      <c r="H10" s="1" t="s">
        <v>12</v>
      </c>
      <c r="I10" s="4"/>
      <c r="J10" s="4"/>
      <c r="L10" s="22" t="s">
        <v>33</v>
      </c>
      <c r="M10" s="23">
        <v>550</v>
      </c>
      <c r="N10" s="18"/>
      <c r="O10" s="18"/>
      <c r="P10" s="18"/>
      <c r="Q10" s="18"/>
      <c r="R10" s="18"/>
      <c r="S10" s="18"/>
      <c r="T10" s="18"/>
      <c r="U10" s="18"/>
    </row>
    <row r="11" spans="2:21" ht="21" x14ac:dyDescent="0.25">
      <c r="B11" s="50" t="s">
        <v>57</v>
      </c>
      <c r="C11" s="51"/>
      <c r="D11" s="10">
        <f>D7*D10</f>
        <v>0</v>
      </c>
      <c r="E11" s="10">
        <f t="shared" ref="E11:G11" si="1">E7*E10</f>
        <v>30000</v>
      </c>
      <c r="F11" s="10">
        <f t="shared" si="1"/>
        <v>0</v>
      </c>
      <c r="G11" s="10">
        <f t="shared" si="1"/>
        <v>0</v>
      </c>
      <c r="H11" s="1" t="s">
        <v>21</v>
      </c>
      <c r="I11" s="4"/>
      <c r="J11" s="4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2:21" ht="22" thickBot="1" x14ac:dyDescent="0.3">
      <c r="B12" s="50" t="s">
        <v>45</v>
      </c>
      <c r="C12" s="51"/>
      <c r="D12" s="40"/>
      <c r="E12" s="40">
        <v>0.2</v>
      </c>
      <c r="F12" s="40"/>
      <c r="G12" s="40"/>
      <c r="H12" s="1" t="s">
        <v>12</v>
      </c>
      <c r="I12" s="4"/>
      <c r="J12" s="4"/>
      <c r="L12" s="18"/>
      <c r="M12" s="12" t="s">
        <v>101</v>
      </c>
      <c r="N12" s="18"/>
      <c r="O12" s="42" t="s">
        <v>102</v>
      </c>
      <c r="P12" s="42"/>
      <c r="Q12" s="18"/>
      <c r="R12" s="18"/>
      <c r="S12" s="18"/>
      <c r="T12" s="18"/>
      <c r="U12" s="18"/>
    </row>
    <row r="13" spans="2:21" ht="21" x14ac:dyDescent="0.25">
      <c r="B13" s="50" t="s">
        <v>58</v>
      </c>
      <c r="C13" s="51"/>
      <c r="D13" s="10">
        <f>D7*D12</f>
        <v>0</v>
      </c>
      <c r="E13" s="10">
        <f t="shared" ref="E13:G13" si="2">E7*E12</f>
        <v>10000</v>
      </c>
      <c r="F13" s="10">
        <f t="shared" si="2"/>
        <v>0</v>
      </c>
      <c r="G13" s="10">
        <f t="shared" si="2"/>
        <v>0</v>
      </c>
      <c r="H13" s="1" t="s">
        <v>21</v>
      </c>
      <c r="I13" s="4"/>
      <c r="J13" s="4"/>
      <c r="L13" s="16" t="s">
        <v>41</v>
      </c>
      <c r="M13" s="20" t="s">
        <v>74</v>
      </c>
      <c r="N13" s="24" t="s">
        <v>91</v>
      </c>
      <c r="O13" s="24" t="s">
        <v>94</v>
      </c>
      <c r="P13" s="17"/>
      <c r="Q13" s="18"/>
      <c r="R13" s="18"/>
      <c r="S13" s="18"/>
      <c r="T13" s="18"/>
      <c r="U13" s="18"/>
    </row>
    <row r="14" spans="2:21" ht="21" x14ac:dyDescent="0.25">
      <c r="B14" s="50" t="s">
        <v>31</v>
      </c>
      <c r="C14" s="51"/>
      <c r="D14" s="9">
        <f>D11/$M$8</f>
        <v>0</v>
      </c>
      <c r="E14" s="9">
        <f>E11/$M$8</f>
        <v>214.28571428571428</v>
      </c>
      <c r="F14" s="9">
        <f>F11/$M$8</f>
        <v>0</v>
      </c>
      <c r="G14" s="9">
        <f>G11/$M$8</f>
        <v>0</v>
      </c>
      <c r="H14" s="1" t="s">
        <v>32</v>
      </c>
      <c r="I14" s="4"/>
      <c r="J14" s="4"/>
      <c r="L14" s="19" t="s">
        <v>33</v>
      </c>
      <c r="M14" s="21">
        <v>60</v>
      </c>
      <c r="N14" s="25">
        <f>M14*0.75</f>
        <v>45</v>
      </c>
      <c r="O14" s="25">
        <f>N14*0.5</f>
        <v>22.5</v>
      </c>
      <c r="P14" s="26"/>
      <c r="Q14" s="18"/>
      <c r="R14" s="18"/>
      <c r="S14" s="18"/>
      <c r="T14" s="18"/>
      <c r="U14" s="18"/>
    </row>
    <row r="15" spans="2:21" ht="21" x14ac:dyDescent="0.25">
      <c r="B15" s="50" t="s">
        <v>30</v>
      </c>
      <c r="C15" s="51"/>
      <c r="D15" s="9">
        <f>D13/$M$9</f>
        <v>0</v>
      </c>
      <c r="E15" s="9">
        <f>E13/$M$9</f>
        <v>20</v>
      </c>
      <c r="F15" s="9">
        <f>F13/$M$9</f>
        <v>0</v>
      </c>
      <c r="G15" s="9">
        <f>G13/$M$9</f>
        <v>0</v>
      </c>
      <c r="H15" s="1" t="s">
        <v>32</v>
      </c>
      <c r="I15" s="4"/>
      <c r="J15" s="4"/>
      <c r="L15" s="19" t="s">
        <v>28</v>
      </c>
      <c r="M15" s="21">
        <v>40</v>
      </c>
      <c r="N15" s="25">
        <f t="shared" ref="N15:N16" si="3">M15*0.75</f>
        <v>30</v>
      </c>
      <c r="O15" s="25">
        <f t="shared" ref="O15:O16" si="4">N15*0.5</f>
        <v>15</v>
      </c>
      <c r="P15" s="26"/>
      <c r="Q15" s="18"/>
      <c r="R15" s="18"/>
      <c r="S15" s="18"/>
      <c r="T15" s="18"/>
      <c r="U15" s="18"/>
    </row>
    <row r="16" spans="2:21" ht="22" thickBot="1" x14ac:dyDescent="0.3">
      <c r="B16" s="50" t="s">
        <v>34</v>
      </c>
      <c r="C16" s="51"/>
      <c r="D16" s="9">
        <f>D14/$M$10</f>
        <v>0</v>
      </c>
      <c r="E16" s="9">
        <f>E14/$M$10</f>
        <v>0.38961038961038957</v>
      </c>
      <c r="F16" s="9">
        <f>F14/$M$10</f>
        <v>0</v>
      </c>
      <c r="G16" s="9">
        <f>G14/$M$10</f>
        <v>0</v>
      </c>
      <c r="H16" s="1" t="s">
        <v>32</v>
      </c>
      <c r="I16" s="4"/>
      <c r="J16" s="4"/>
      <c r="L16" s="27" t="s">
        <v>29</v>
      </c>
      <c r="M16" s="23">
        <v>35</v>
      </c>
      <c r="N16" s="28">
        <f t="shared" si="3"/>
        <v>26.25</v>
      </c>
      <c r="O16" s="28">
        <f t="shared" si="4"/>
        <v>13.125</v>
      </c>
      <c r="P16" s="29"/>
      <c r="Q16" s="18"/>
      <c r="R16" s="18"/>
      <c r="S16" s="18"/>
      <c r="T16" s="18"/>
      <c r="U16" s="18"/>
    </row>
    <row r="17" spans="2:21" ht="21" x14ac:dyDescent="0.25">
      <c r="B17" s="47" t="s">
        <v>59</v>
      </c>
      <c r="C17" s="48"/>
      <c r="D17" s="39"/>
      <c r="E17" s="39">
        <v>10000</v>
      </c>
      <c r="F17" s="39"/>
      <c r="G17" s="39"/>
      <c r="H17" s="1" t="s">
        <v>21</v>
      </c>
      <c r="I17" s="4"/>
      <c r="J17" s="4"/>
      <c r="L17" s="30" t="s">
        <v>95</v>
      </c>
      <c r="M17" s="31">
        <v>0</v>
      </c>
      <c r="N17" s="32">
        <v>0.03</v>
      </c>
      <c r="O17" s="32">
        <v>7.0000000000000007E-2</v>
      </c>
      <c r="P17" s="18"/>
      <c r="Q17" s="18"/>
      <c r="R17" s="18"/>
      <c r="S17" s="18"/>
      <c r="T17" s="18"/>
      <c r="U17" s="18"/>
    </row>
    <row r="18" spans="2:21" ht="21" x14ac:dyDescent="0.25">
      <c r="B18" s="50" t="s">
        <v>46</v>
      </c>
      <c r="C18" s="51"/>
      <c r="D18" s="40"/>
      <c r="E18" s="40">
        <v>0.05</v>
      </c>
      <c r="F18" s="40"/>
      <c r="G18" s="40"/>
      <c r="H18" s="1" t="s">
        <v>12</v>
      </c>
      <c r="I18" s="4"/>
      <c r="J18" s="4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2:21" ht="21" x14ac:dyDescent="0.25">
      <c r="B19" s="50" t="s">
        <v>60</v>
      </c>
      <c r="C19" s="51"/>
      <c r="D19" s="10">
        <f>D18*D17</f>
        <v>0</v>
      </c>
      <c r="E19" s="10">
        <f t="shared" ref="E19:G19" si="5">E18*E17</f>
        <v>500</v>
      </c>
      <c r="F19" s="10">
        <f t="shared" si="5"/>
        <v>0</v>
      </c>
      <c r="G19" s="10">
        <f t="shared" si="5"/>
        <v>0</v>
      </c>
      <c r="H19" s="1" t="s">
        <v>21</v>
      </c>
      <c r="I19" s="4"/>
      <c r="J19" s="4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2:21" ht="21" x14ac:dyDescent="0.25">
      <c r="B20" s="50" t="s">
        <v>56</v>
      </c>
      <c r="C20" s="51"/>
      <c r="D20" s="40"/>
      <c r="E20" s="40">
        <v>1.2</v>
      </c>
      <c r="F20" s="40"/>
      <c r="G20" s="40"/>
      <c r="H20" s="1" t="s">
        <v>12</v>
      </c>
      <c r="I20" s="4"/>
      <c r="J20" s="4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2:21" ht="21" x14ac:dyDescent="0.25">
      <c r="B21" s="50" t="s">
        <v>61</v>
      </c>
      <c r="C21" s="51"/>
      <c r="D21" s="10">
        <f>D20*D17</f>
        <v>0</v>
      </c>
      <c r="E21" s="10">
        <f>E20*E17</f>
        <v>12000</v>
      </c>
      <c r="F21" s="10">
        <f>F20*F17</f>
        <v>0</v>
      </c>
      <c r="G21" s="10">
        <f>G20*G17</f>
        <v>0</v>
      </c>
      <c r="H21" s="1" t="s">
        <v>21</v>
      </c>
      <c r="I21" s="4"/>
      <c r="J21" s="4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2:21" ht="21" x14ac:dyDescent="0.25">
      <c r="B22" s="50" t="s">
        <v>62</v>
      </c>
      <c r="C22" s="51"/>
      <c r="D22" s="10">
        <f>0.9*D21</f>
        <v>0</v>
      </c>
      <c r="E22" s="10">
        <f t="shared" ref="E22:G22" si="6">0.9*E21</f>
        <v>10800</v>
      </c>
      <c r="F22" s="10">
        <f t="shared" si="6"/>
        <v>0</v>
      </c>
      <c r="G22" s="10">
        <f t="shared" si="6"/>
        <v>0</v>
      </c>
      <c r="H22" s="1" t="s">
        <v>21</v>
      </c>
      <c r="I22" s="4"/>
      <c r="J22" s="4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2:21" ht="21" x14ac:dyDescent="0.25">
      <c r="B23" s="50" t="s">
        <v>64</v>
      </c>
      <c r="C23" s="51"/>
      <c r="D23" s="40"/>
      <c r="E23" s="40">
        <v>0.05</v>
      </c>
      <c r="F23" s="40"/>
      <c r="G23" s="40"/>
      <c r="H23" s="1" t="s">
        <v>12</v>
      </c>
      <c r="I23" s="4"/>
      <c r="J23" s="4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2:21" ht="21" x14ac:dyDescent="0.25">
      <c r="B24" s="50" t="s">
        <v>63</v>
      </c>
      <c r="C24" s="50"/>
      <c r="D24" s="44">
        <f>D23*D17</f>
        <v>0</v>
      </c>
      <c r="E24" s="44">
        <f t="shared" ref="E24:G24" si="7">E23*E17</f>
        <v>500</v>
      </c>
      <c r="F24" s="44">
        <f t="shared" si="7"/>
        <v>0</v>
      </c>
      <c r="G24" s="44">
        <f t="shared" si="7"/>
        <v>0</v>
      </c>
      <c r="H24" s="1" t="s">
        <v>96</v>
      </c>
      <c r="I24" s="4"/>
      <c r="J24" s="4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2:21" ht="21" x14ac:dyDescent="0.25">
      <c r="C25" s="1"/>
      <c r="D25" s="1"/>
      <c r="E25" s="1"/>
      <c r="F25" s="1"/>
      <c r="G25" s="1"/>
      <c r="H25" s="1"/>
      <c r="I25" s="4"/>
      <c r="J25" s="4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2:21" ht="21" x14ac:dyDescent="0.25">
      <c r="B26" s="2" t="s">
        <v>2</v>
      </c>
      <c r="C26" s="1"/>
      <c r="D26" s="1"/>
      <c r="E26" s="1"/>
      <c r="F26" s="1"/>
      <c r="G26" s="1"/>
      <c r="H26" s="1"/>
      <c r="I26" s="4"/>
      <c r="J26" s="4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2:21" ht="21" x14ac:dyDescent="0.25">
      <c r="B27" s="47" t="s">
        <v>22</v>
      </c>
      <c r="C27" s="48"/>
      <c r="D27" s="8" t="e">
        <f>D28/D7</f>
        <v>#DIV/0!</v>
      </c>
      <c r="E27" s="8">
        <f>E28/E7</f>
        <v>16.125</v>
      </c>
      <c r="F27" s="8" t="e">
        <f>F28/F7</f>
        <v>#DIV/0!</v>
      </c>
      <c r="G27" s="8" t="e">
        <f>G28/G7</f>
        <v>#DIV/0!</v>
      </c>
      <c r="H27" s="1" t="s">
        <v>13</v>
      </c>
      <c r="I27" s="4"/>
      <c r="J27" s="4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2:21" ht="21" x14ac:dyDescent="0.25">
      <c r="B28" s="47" t="s">
        <v>3</v>
      </c>
      <c r="C28" s="48"/>
      <c r="D28" s="10">
        <f>(D9*$M$14)+(D11*$M$15)+(D13*$M$16)</f>
        <v>0</v>
      </c>
      <c r="E28" s="10">
        <f>(E9*$O$14)+(E11*$O$15)+(E13*$O$16)</f>
        <v>806250</v>
      </c>
      <c r="F28" s="10">
        <f>(F9*$M$14)+(F11*$M$15)+(F13*$M$16)</f>
        <v>0</v>
      </c>
      <c r="G28" s="10">
        <f>(G9*$M$14)+(G11*$M$15)+(G13*$M$16)</f>
        <v>0</v>
      </c>
      <c r="H28" s="1" t="s">
        <v>14</v>
      </c>
      <c r="I28" s="4"/>
      <c r="J28" s="4"/>
      <c r="L28" s="16" t="s">
        <v>55</v>
      </c>
      <c r="M28" s="24"/>
      <c r="N28" s="24"/>
      <c r="O28" s="24"/>
      <c r="P28" s="17"/>
      <c r="Q28" s="18" t="s">
        <v>49</v>
      </c>
      <c r="R28" s="18"/>
      <c r="S28" s="18" t="s">
        <v>50</v>
      </c>
      <c r="T28" s="18"/>
      <c r="U28" s="18"/>
    </row>
    <row r="29" spans="2:21" ht="21" x14ac:dyDescent="0.25">
      <c r="B29" s="1"/>
      <c r="C29" s="1"/>
      <c r="D29" s="1"/>
      <c r="E29" s="1"/>
      <c r="F29" s="1"/>
      <c r="G29" s="1"/>
      <c r="H29" s="1"/>
      <c r="I29" s="4"/>
      <c r="J29" s="4"/>
      <c r="L29" s="19">
        <v>3.456</v>
      </c>
      <c r="M29" s="25" t="s">
        <v>47</v>
      </c>
      <c r="N29" s="25" t="s">
        <v>75</v>
      </c>
      <c r="O29" s="12" t="s">
        <v>97</v>
      </c>
      <c r="P29" s="26"/>
      <c r="Q29" s="18">
        <v>3.4119999999999999</v>
      </c>
      <c r="R29" s="18"/>
      <c r="S29" s="18">
        <v>10.7639</v>
      </c>
      <c r="T29" s="18"/>
      <c r="U29" s="18"/>
    </row>
    <row r="30" spans="2:21" ht="21" x14ac:dyDescent="0.25">
      <c r="C30" s="1"/>
      <c r="D30" s="1"/>
      <c r="E30" s="1"/>
      <c r="F30" s="1"/>
      <c r="G30" s="1"/>
      <c r="H30" s="1"/>
      <c r="I30" s="4"/>
      <c r="J30" s="4"/>
      <c r="L30" s="19">
        <f>L29*365</f>
        <v>1261.44</v>
      </c>
      <c r="M30" s="25" t="s">
        <v>48</v>
      </c>
      <c r="N30" s="25" t="s">
        <v>98</v>
      </c>
      <c r="O30" s="25"/>
      <c r="P30" s="26"/>
      <c r="Q30" s="18"/>
      <c r="R30" s="18"/>
      <c r="S30" s="18"/>
      <c r="T30" s="18"/>
      <c r="U30" s="18"/>
    </row>
    <row r="31" spans="2:21" ht="21" x14ac:dyDescent="0.25">
      <c r="B31" s="2" t="s">
        <v>4</v>
      </c>
      <c r="C31" s="1"/>
      <c r="D31" s="1"/>
      <c r="E31" s="1"/>
      <c r="F31" s="1"/>
      <c r="G31" s="1"/>
      <c r="H31" s="1"/>
      <c r="I31" s="4"/>
      <c r="J31" s="4"/>
      <c r="L31" s="33">
        <f>L30*1/S29</f>
        <v>117.19172418918794</v>
      </c>
      <c r="M31" s="25" t="s">
        <v>52</v>
      </c>
      <c r="N31" s="25" t="s">
        <v>99</v>
      </c>
      <c r="O31" s="25"/>
      <c r="P31" s="26"/>
      <c r="Q31" s="18"/>
      <c r="R31" s="18"/>
      <c r="S31" s="18"/>
      <c r="T31" s="18"/>
      <c r="U31" s="18"/>
    </row>
    <row r="32" spans="2:21" ht="22" thickBot="1" x14ac:dyDescent="0.3">
      <c r="B32" s="47" t="s">
        <v>5</v>
      </c>
      <c r="C32" s="48"/>
      <c r="D32" s="41">
        <f>D22*$L$33</f>
        <v>0</v>
      </c>
      <c r="E32" s="41">
        <f>E22*$L$33</f>
        <v>863693.63193638006</v>
      </c>
      <c r="F32" s="10">
        <f t="shared" ref="F32:G32" si="8">F22*$L$33</f>
        <v>0</v>
      </c>
      <c r="G32" s="10">
        <f t="shared" si="8"/>
        <v>0</v>
      </c>
      <c r="H32" s="1" t="s">
        <v>14</v>
      </c>
      <c r="I32" s="4"/>
      <c r="J32" s="4"/>
      <c r="L32" s="33">
        <f>L31*0.2</f>
        <v>23.43834483783759</v>
      </c>
      <c r="M32" s="25" t="s">
        <v>52</v>
      </c>
      <c r="N32" s="25" t="s">
        <v>51</v>
      </c>
      <c r="O32" s="25"/>
      <c r="P32" s="26"/>
      <c r="Q32" s="18"/>
      <c r="R32" s="18"/>
      <c r="S32" s="18"/>
      <c r="T32" s="18"/>
      <c r="U32" s="18"/>
    </row>
    <row r="33" spans="2:21" ht="22" thickBot="1" x14ac:dyDescent="0.3">
      <c r="B33" s="47" t="s">
        <v>6</v>
      </c>
      <c r="C33" s="48"/>
      <c r="D33" s="41" t="e">
        <f>D32/D7</f>
        <v>#DIV/0!</v>
      </c>
      <c r="E33" s="41">
        <f>E32/E7</f>
        <v>17.2738726387276</v>
      </c>
      <c r="F33" s="3" t="e">
        <f>F32/F7</f>
        <v>#DIV/0!</v>
      </c>
      <c r="G33" s="3" t="e">
        <f>G32/G7</f>
        <v>#DIV/0!</v>
      </c>
      <c r="H33" s="1" t="s">
        <v>13</v>
      </c>
      <c r="I33" s="4"/>
      <c r="J33" s="4"/>
      <c r="L33" s="34">
        <f>L32*Q29</f>
        <v>79.971632586701858</v>
      </c>
      <c r="M33" s="28" t="s">
        <v>53</v>
      </c>
      <c r="N33" s="28" t="s">
        <v>100</v>
      </c>
      <c r="O33" s="28"/>
      <c r="P33" s="29"/>
      <c r="Q33" s="18"/>
      <c r="R33" s="18"/>
      <c r="S33" s="18"/>
      <c r="T33" s="18"/>
      <c r="U33" s="18"/>
    </row>
    <row r="34" spans="2:21" ht="21" x14ac:dyDescent="0.25">
      <c r="B34" s="47" t="s">
        <v>54</v>
      </c>
      <c r="C34" s="48"/>
      <c r="D34" s="10">
        <f>D28/$L$33</f>
        <v>0</v>
      </c>
      <c r="E34" s="10">
        <f>E28/$L$33</f>
        <v>10081.699896846521</v>
      </c>
      <c r="F34" s="10">
        <f t="shared" ref="F34:G34" si="9">F28/$L$33</f>
        <v>0</v>
      </c>
      <c r="G34" s="10">
        <f t="shared" si="9"/>
        <v>0</v>
      </c>
      <c r="H34" s="1" t="s">
        <v>21</v>
      </c>
      <c r="I34" s="4"/>
      <c r="J34" s="4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2:21" ht="21" x14ac:dyDescent="0.25">
      <c r="B35" s="1"/>
      <c r="C35" s="1"/>
      <c r="D35" s="1"/>
      <c r="E35" s="1"/>
      <c r="F35" s="1"/>
      <c r="G35" s="1"/>
      <c r="H35" s="1"/>
      <c r="I35" s="4"/>
      <c r="J35" s="4"/>
      <c r="L35" s="18"/>
      <c r="M35" s="18"/>
      <c r="N35" s="18"/>
      <c r="O35" s="18"/>
      <c r="P35" s="18"/>
      <c r="Q35" s="18"/>
      <c r="R35" s="45" t="s">
        <v>92</v>
      </c>
      <c r="S35" s="45"/>
      <c r="T35" s="45" t="s">
        <v>93</v>
      </c>
      <c r="U35" s="45"/>
    </row>
    <row r="36" spans="2:21" ht="22" thickBot="1" x14ac:dyDescent="0.3">
      <c r="C36" s="1"/>
      <c r="D36" s="1"/>
      <c r="E36" s="1"/>
      <c r="F36" s="1"/>
      <c r="G36" s="1"/>
      <c r="H36" s="1"/>
      <c r="I36" s="4"/>
      <c r="L36" s="16" t="s">
        <v>35</v>
      </c>
      <c r="M36" s="35" t="s">
        <v>85</v>
      </c>
      <c r="N36" s="17"/>
      <c r="O36" s="16" t="s">
        <v>104</v>
      </c>
      <c r="P36" s="24"/>
      <c r="Q36" s="17"/>
      <c r="R36" s="24" t="s">
        <v>88</v>
      </c>
      <c r="S36" s="17"/>
      <c r="T36" s="24" t="s">
        <v>88</v>
      </c>
      <c r="U36" s="17"/>
    </row>
    <row r="37" spans="2:21" ht="21" x14ac:dyDescent="0.25">
      <c r="B37" s="2" t="s">
        <v>7</v>
      </c>
      <c r="C37" s="1"/>
      <c r="D37" s="1"/>
      <c r="E37" s="1"/>
      <c r="F37" s="1"/>
      <c r="G37" s="1"/>
      <c r="H37" s="1"/>
      <c r="I37" s="4"/>
      <c r="L37" s="19" t="s">
        <v>33</v>
      </c>
      <c r="M37" s="20">
        <v>5</v>
      </c>
      <c r="N37" s="26" t="s">
        <v>36</v>
      </c>
      <c r="O37" s="19" t="s">
        <v>28</v>
      </c>
      <c r="P37" s="25">
        <v>5.0999999999999996</v>
      </c>
      <c r="Q37" s="26" t="s">
        <v>36</v>
      </c>
      <c r="R37" s="25">
        <v>1.0900000000000001</v>
      </c>
      <c r="S37" s="26" t="s">
        <v>87</v>
      </c>
      <c r="T37" s="25">
        <v>0.56999999999999995</v>
      </c>
      <c r="U37" s="26" t="s">
        <v>87</v>
      </c>
    </row>
    <row r="38" spans="2:21" ht="21" x14ac:dyDescent="0.25">
      <c r="B38" s="47" t="s">
        <v>37</v>
      </c>
      <c r="C38" s="48"/>
      <c r="D38" s="41">
        <f>((D9*$M$37)+(D11*$M$38)+(D13*$M$39))/1000</f>
        <v>0</v>
      </c>
      <c r="E38" s="41">
        <f>((E9*$M$37)+(E11*$M$38)+(E13*$M$39))/1000</f>
        <v>800</v>
      </c>
      <c r="F38" s="41">
        <f>((F9*$M$37)+(F11*$M$38)+(F13*$M$39))/1000</f>
        <v>0</v>
      </c>
      <c r="G38" s="41">
        <f>((G9*$M$37)+(G11*$M$38)+(G13*$M$39))/1000</f>
        <v>0</v>
      </c>
      <c r="H38" s="1" t="s">
        <v>38</v>
      </c>
      <c r="I38" s="4"/>
      <c r="L38" s="19" t="s">
        <v>28</v>
      </c>
      <c r="M38" s="21">
        <v>11</v>
      </c>
      <c r="N38" s="26" t="s">
        <v>36</v>
      </c>
      <c r="O38" s="19" t="s">
        <v>29</v>
      </c>
      <c r="P38" s="25">
        <v>20.100000000000001</v>
      </c>
      <c r="Q38" s="26" t="s">
        <v>36</v>
      </c>
      <c r="R38" s="25">
        <v>2.91</v>
      </c>
      <c r="S38" s="26" t="s">
        <v>87</v>
      </c>
      <c r="T38" s="25">
        <v>2</v>
      </c>
      <c r="U38" s="26" t="s">
        <v>87</v>
      </c>
    </row>
    <row r="39" spans="2:21" ht="21" x14ac:dyDescent="0.25">
      <c r="B39" s="47" t="s">
        <v>70</v>
      </c>
      <c r="C39" s="48"/>
      <c r="D39" s="41">
        <f>D24*$M$40/1000</f>
        <v>0</v>
      </c>
      <c r="E39" s="41">
        <f t="shared" ref="E39:G39" si="10">E24*$M$40/1000</f>
        <v>4.9000000000000004</v>
      </c>
      <c r="F39" s="41">
        <f t="shared" si="10"/>
        <v>0</v>
      </c>
      <c r="G39" s="41">
        <f t="shared" si="10"/>
        <v>0</v>
      </c>
      <c r="H39" s="1" t="s">
        <v>38</v>
      </c>
      <c r="I39" s="4"/>
      <c r="J39" s="4"/>
      <c r="L39" s="19" t="s">
        <v>29</v>
      </c>
      <c r="M39" s="21">
        <v>42</v>
      </c>
      <c r="N39" s="26" t="s">
        <v>36</v>
      </c>
      <c r="O39" s="19"/>
      <c r="P39" s="25"/>
      <c r="Q39" s="26"/>
      <c r="R39" s="25"/>
      <c r="S39" s="26"/>
      <c r="T39" s="25"/>
      <c r="U39" s="26"/>
    </row>
    <row r="40" spans="2:21" ht="22" thickBot="1" x14ac:dyDescent="0.3">
      <c r="B40" s="47" t="s">
        <v>89</v>
      </c>
      <c r="C40" s="48"/>
      <c r="D40" s="41">
        <f>($R$37*D14)+($R$38*D15)</f>
        <v>0</v>
      </c>
      <c r="E40" s="41">
        <f>($T$37*E14)+($T$38*E15)</f>
        <v>162.14285714285711</v>
      </c>
      <c r="F40" s="41">
        <f t="shared" ref="F40:G40" si="11">($R$37*F14)+($R$38*F15)</f>
        <v>0</v>
      </c>
      <c r="G40" s="41">
        <f t="shared" si="11"/>
        <v>0</v>
      </c>
      <c r="H40" s="1" t="s">
        <v>38</v>
      </c>
      <c r="I40" s="4"/>
      <c r="J40" s="4"/>
      <c r="L40" s="22" t="s">
        <v>39</v>
      </c>
      <c r="M40" s="23">
        <v>9.8000000000000007</v>
      </c>
      <c r="N40" s="29" t="s">
        <v>40</v>
      </c>
      <c r="O40" s="22"/>
      <c r="P40" s="28"/>
      <c r="Q40" s="29"/>
      <c r="R40" s="28"/>
      <c r="S40" s="29"/>
      <c r="T40" s="28"/>
      <c r="U40" s="29"/>
    </row>
    <row r="41" spans="2:21" ht="19" x14ac:dyDescent="0.25">
      <c r="I41" s="4"/>
      <c r="J41" s="4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2:21" ht="21" x14ac:dyDescent="0.25">
      <c r="B42" s="11"/>
      <c r="C42" s="15"/>
      <c r="D42" s="14"/>
      <c r="E42" s="1"/>
      <c r="F42" s="1"/>
      <c r="G42" s="1"/>
      <c r="H42" s="1"/>
      <c r="I42" s="4"/>
      <c r="J42" s="4"/>
      <c r="L42" s="30"/>
      <c r="M42" s="25"/>
      <c r="N42" s="25"/>
      <c r="O42" s="18"/>
      <c r="P42" s="18"/>
      <c r="Q42" s="18"/>
      <c r="R42" s="18"/>
      <c r="S42" s="18"/>
      <c r="T42" s="18"/>
      <c r="U42" s="18"/>
    </row>
    <row r="43" spans="2:21" ht="22" thickBot="1" x14ac:dyDescent="0.3">
      <c r="B43" s="2" t="s">
        <v>8</v>
      </c>
      <c r="C43" s="1"/>
      <c r="D43" s="1"/>
      <c r="E43" s="1"/>
      <c r="F43" s="1"/>
      <c r="G43" s="1"/>
      <c r="H43" s="1"/>
      <c r="I43" s="4"/>
      <c r="J43" s="4"/>
      <c r="L43" s="18"/>
      <c r="M43" s="18"/>
      <c r="N43" s="18"/>
      <c r="O43" s="18"/>
      <c r="P43" s="18"/>
      <c r="Q43" s="18"/>
      <c r="R43" s="45" t="s">
        <v>92</v>
      </c>
      <c r="S43" s="45"/>
      <c r="T43" s="46" t="s">
        <v>93</v>
      </c>
      <c r="U43" s="46"/>
    </row>
    <row r="44" spans="2:21" ht="22" thickBot="1" x14ac:dyDescent="0.3">
      <c r="B44" s="47" t="s">
        <v>65</v>
      </c>
      <c r="C44" s="48"/>
      <c r="D44" s="41">
        <f>((D21*0.9+D24*0.6)*144*37.5)/231/1000</f>
        <v>0</v>
      </c>
      <c r="E44" s="41">
        <f>((E21*N45+E24*N46)*144*N44)/231/1000</f>
        <v>231.42857142857142</v>
      </c>
      <c r="F44" s="41">
        <f>((F21*0.9+F24*0.6)*144*37.5)/231/1000</f>
        <v>0</v>
      </c>
      <c r="G44" s="41">
        <f>((G21*0.9+G24*0.6)*144*37.5)/231/1000</f>
        <v>0</v>
      </c>
      <c r="H44" s="1" t="s">
        <v>38</v>
      </c>
      <c r="I44" s="4"/>
      <c r="J44" s="4"/>
      <c r="L44" s="36" t="s">
        <v>66</v>
      </c>
      <c r="M44" s="24"/>
      <c r="N44" s="20">
        <v>37.5</v>
      </c>
      <c r="O44" s="17" t="s">
        <v>67</v>
      </c>
      <c r="P44" s="18"/>
      <c r="Q44" s="18"/>
      <c r="R44" s="16" t="s">
        <v>84</v>
      </c>
      <c r="S44" s="17"/>
      <c r="T44" s="16" t="s">
        <v>84</v>
      </c>
      <c r="U44" s="17"/>
    </row>
    <row r="45" spans="2:21" ht="21" x14ac:dyDescent="0.25">
      <c r="B45" s="47" t="s">
        <v>9</v>
      </c>
      <c r="C45" s="48"/>
      <c r="D45" s="7" t="e">
        <f>(D44)/(D39+D40)</f>
        <v>#DIV/0!</v>
      </c>
      <c r="E45" s="7">
        <f t="shared" ref="E45:G45" si="12">(E44)/(E39+E40)</f>
        <v>1.3854442829043019</v>
      </c>
      <c r="F45" s="7" t="e">
        <f t="shared" si="12"/>
        <v>#DIV/0!</v>
      </c>
      <c r="G45" s="7" t="e">
        <f t="shared" si="12"/>
        <v>#DIV/0!</v>
      </c>
      <c r="H45" s="1" t="s">
        <v>26</v>
      </c>
      <c r="I45" s="4"/>
      <c r="J45" s="4"/>
      <c r="L45" s="37" t="s">
        <v>68</v>
      </c>
      <c r="M45" s="25"/>
      <c r="N45" s="21">
        <v>0.8</v>
      </c>
      <c r="O45" s="26"/>
      <c r="P45" s="18"/>
      <c r="Q45" s="18" t="s">
        <v>28</v>
      </c>
      <c r="R45" s="20">
        <v>0.42299999999999999</v>
      </c>
      <c r="S45" s="25" t="s">
        <v>87</v>
      </c>
      <c r="T45" s="19">
        <v>0.32800000000000001</v>
      </c>
      <c r="U45" s="26" t="s">
        <v>87</v>
      </c>
    </row>
    <row r="46" spans="2:21" ht="22" thickBot="1" x14ac:dyDescent="0.3">
      <c r="B46" s="47" t="s">
        <v>83</v>
      </c>
      <c r="C46" s="48"/>
      <c r="D46" s="41">
        <f>$R$45*D14</f>
        <v>0</v>
      </c>
      <c r="E46" s="41">
        <f>$T$45*E14</f>
        <v>70.285714285714292</v>
      </c>
      <c r="F46" s="41">
        <f>$R$45*F14</f>
        <v>0</v>
      </c>
      <c r="G46" s="41">
        <f>$R$45*G14</f>
        <v>0</v>
      </c>
      <c r="H46" s="1"/>
      <c r="I46" s="4"/>
      <c r="J46" s="4"/>
      <c r="L46" s="22" t="s">
        <v>69</v>
      </c>
      <c r="M46" s="28"/>
      <c r="N46" s="23">
        <v>0.6</v>
      </c>
      <c r="O46" s="29"/>
      <c r="P46" s="18"/>
      <c r="Q46" s="18" t="s">
        <v>29</v>
      </c>
      <c r="R46" s="23">
        <v>9.8000000000000007</v>
      </c>
      <c r="S46" s="25" t="s">
        <v>87</v>
      </c>
      <c r="T46" s="19">
        <v>9.8000000000000007</v>
      </c>
      <c r="U46" s="26" t="s">
        <v>87</v>
      </c>
    </row>
    <row r="47" spans="2:21" ht="21" x14ac:dyDescent="0.25">
      <c r="B47" s="47" t="s">
        <v>105</v>
      </c>
      <c r="C47" s="48"/>
      <c r="D47" s="7" t="e">
        <f>(D46)/(D39+D40)</f>
        <v>#DIV/0!</v>
      </c>
      <c r="E47" s="7">
        <f t="shared" ref="E47:G47" si="13">(E46)/(E39+E40)</f>
        <v>0.42076455999315843</v>
      </c>
      <c r="F47" s="7" t="e">
        <f t="shared" si="13"/>
        <v>#DIV/0!</v>
      </c>
      <c r="G47" s="7" t="e">
        <f t="shared" si="13"/>
        <v>#DIV/0!</v>
      </c>
      <c r="H47" s="1"/>
      <c r="I47" s="4"/>
      <c r="J47" s="4"/>
      <c r="L47" s="18"/>
      <c r="M47" s="18"/>
      <c r="N47" s="18"/>
      <c r="O47" s="18"/>
      <c r="P47" s="18"/>
      <c r="Q47" s="18"/>
      <c r="R47" s="19"/>
      <c r="S47" s="26"/>
      <c r="T47" s="19"/>
      <c r="U47" s="26"/>
    </row>
    <row r="48" spans="2:21" ht="21" x14ac:dyDescent="0.25">
      <c r="B48" s="11"/>
      <c r="C48" s="15"/>
      <c r="D48" s="1"/>
      <c r="E48" s="1"/>
      <c r="F48" s="1"/>
      <c r="G48" s="1"/>
      <c r="H48" s="1"/>
      <c r="I48" s="4"/>
      <c r="J48" s="4"/>
      <c r="L48" s="18"/>
      <c r="M48" s="18"/>
      <c r="N48" s="18"/>
      <c r="O48" s="18"/>
      <c r="P48" s="18"/>
      <c r="Q48" s="18"/>
      <c r="R48" s="19"/>
      <c r="S48" s="26"/>
      <c r="T48" s="19"/>
      <c r="U48" s="26"/>
    </row>
    <row r="49" spans="2:21" ht="21" x14ac:dyDescent="0.25">
      <c r="C49" s="1"/>
      <c r="D49" s="1"/>
      <c r="E49" s="1"/>
      <c r="F49" s="1"/>
      <c r="G49" s="1"/>
      <c r="H49" s="1"/>
      <c r="I49" s="4"/>
      <c r="J49" s="4"/>
      <c r="L49" s="18"/>
      <c r="M49" s="18"/>
      <c r="N49" s="18"/>
      <c r="O49" s="18"/>
      <c r="P49" s="18"/>
      <c r="Q49" s="18"/>
      <c r="R49" s="19"/>
      <c r="S49" s="26"/>
      <c r="T49" s="19"/>
      <c r="U49" s="26"/>
    </row>
    <row r="50" spans="2:21" ht="21" x14ac:dyDescent="0.25">
      <c r="B50" s="2" t="s">
        <v>10</v>
      </c>
      <c r="C50" s="1"/>
      <c r="D50" s="1"/>
      <c r="E50" s="1"/>
      <c r="F50" s="1"/>
      <c r="G50" s="1"/>
      <c r="H50" s="1"/>
      <c r="I50" s="4"/>
      <c r="J50" s="4"/>
      <c r="L50" s="18"/>
      <c r="M50" s="18"/>
      <c r="N50" s="18"/>
      <c r="O50" s="18"/>
      <c r="P50" s="18"/>
      <c r="Q50" s="18"/>
      <c r="R50" s="27"/>
      <c r="S50" s="29"/>
      <c r="T50" s="27"/>
      <c r="U50" s="29"/>
    </row>
    <row r="51" spans="2:21" ht="22" thickBot="1" x14ac:dyDescent="0.3">
      <c r="B51" s="47" t="s">
        <v>11</v>
      </c>
      <c r="C51" s="48"/>
      <c r="D51" s="43">
        <f>($M$52*D13*12)+($M$53*D11)</f>
        <v>0</v>
      </c>
      <c r="E51" s="43">
        <f>($M$52*E13*12)+($M$53*E11)</f>
        <v>2100000</v>
      </c>
      <c r="F51" s="43">
        <f t="shared" ref="F51:G51" si="14">($M$52*F13*12)+($M$53*F11)</f>
        <v>0</v>
      </c>
      <c r="G51" s="43">
        <f t="shared" si="14"/>
        <v>0</v>
      </c>
      <c r="H51" s="1" t="s">
        <v>20</v>
      </c>
      <c r="I51" s="4"/>
      <c r="J51" s="4"/>
      <c r="L51" s="16" t="s">
        <v>73</v>
      </c>
      <c r="M51" s="24"/>
      <c r="N51" s="17"/>
      <c r="O51" s="18"/>
      <c r="P51" s="18"/>
      <c r="Q51" s="18"/>
      <c r="R51" s="18"/>
      <c r="S51" s="18"/>
      <c r="T51" s="18"/>
      <c r="U51" s="18"/>
    </row>
    <row r="52" spans="2:21" ht="21" x14ac:dyDescent="0.25">
      <c r="B52" s="47" t="s">
        <v>23</v>
      </c>
      <c r="C52" s="48"/>
      <c r="D52" s="43" t="e">
        <f>D51/((D13+D11)*0.85)</f>
        <v>#DIV/0!</v>
      </c>
      <c r="E52" s="43">
        <f>E51/((E13+E11)*0.85)</f>
        <v>61.764705882352942</v>
      </c>
      <c r="F52" s="43" t="e">
        <f>F51/((F13+F11)*0.85)</f>
        <v>#DIV/0!</v>
      </c>
      <c r="G52" s="43" t="e">
        <f>G51/((G13+G11)*0.85)</f>
        <v>#DIV/0!</v>
      </c>
      <c r="H52" s="1" t="s">
        <v>24</v>
      </c>
      <c r="I52" s="4"/>
      <c r="J52" s="4"/>
      <c r="L52" s="19" t="s">
        <v>76</v>
      </c>
      <c r="M52" s="20">
        <v>5</v>
      </c>
      <c r="N52" s="26" t="s">
        <v>71</v>
      </c>
      <c r="O52" s="18"/>
      <c r="P52" s="18"/>
      <c r="Q52" s="18"/>
      <c r="R52" s="18"/>
      <c r="S52" s="18"/>
      <c r="T52" s="18"/>
      <c r="U52" s="18"/>
    </row>
    <row r="53" spans="2:21" ht="21" x14ac:dyDescent="0.25">
      <c r="B53" s="47" t="s">
        <v>81</v>
      </c>
      <c r="C53" s="48"/>
      <c r="D53" s="43">
        <f>$M$54*D11</f>
        <v>0</v>
      </c>
      <c r="E53" s="43">
        <f>$M$54*E11*1.07</f>
        <v>12037500</v>
      </c>
      <c r="F53" s="43">
        <f t="shared" ref="F53:G53" si="15">$M$54*F11</f>
        <v>0</v>
      </c>
      <c r="G53" s="43">
        <f t="shared" si="15"/>
        <v>0</v>
      </c>
      <c r="H53" t="s">
        <v>86</v>
      </c>
      <c r="L53" s="19" t="s">
        <v>77</v>
      </c>
      <c r="M53" s="21">
        <v>50</v>
      </c>
      <c r="N53" s="26" t="s">
        <v>72</v>
      </c>
      <c r="O53" s="18"/>
      <c r="P53" s="18"/>
      <c r="Q53" s="18"/>
      <c r="R53" s="18"/>
      <c r="S53" s="18"/>
      <c r="T53" s="18"/>
      <c r="U53" s="18"/>
    </row>
    <row r="54" spans="2:21" ht="21" x14ac:dyDescent="0.25">
      <c r="B54" s="47" t="s">
        <v>82</v>
      </c>
      <c r="C54" s="48"/>
      <c r="D54" s="43">
        <f>$M$55*D13</f>
        <v>0</v>
      </c>
      <c r="E54" s="43">
        <f>$M$55*E13</f>
        <v>2850000</v>
      </c>
      <c r="F54" s="43">
        <f t="shared" ref="F54:G54" si="16">$M$55*F13</f>
        <v>0</v>
      </c>
      <c r="G54" s="43">
        <f t="shared" si="16"/>
        <v>0</v>
      </c>
      <c r="H54" s="13" t="s">
        <v>86</v>
      </c>
      <c r="L54" s="37" t="s">
        <v>78</v>
      </c>
      <c r="M54" s="21">
        <v>375</v>
      </c>
      <c r="N54" s="26" t="s">
        <v>79</v>
      </c>
      <c r="O54" s="18"/>
      <c r="P54" s="18"/>
      <c r="Q54" s="18"/>
      <c r="R54" s="18"/>
      <c r="S54" s="18"/>
      <c r="T54" s="18"/>
      <c r="U54" s="18"/>
    </row>
    <row r="55" spans="2:21" ht="16" thickBot="1" x14ac:dyDescent="0.25">
      <c r="L55" s="27" t="s">
        <v>80</v>
      </c>
      <c r="M55" s="23">
        <v>285</v>
      </c>
      <c r="N55" s="29" t="s">
        <v>79</v>
      </c>
      <c r="P55" s="18"/>
      <c r="Q55" s="18"/>
      <c r="R55" s="18"/>
      <c r="S55" s="18"/>
      <c r="T55" s="18"/>
      <c r="U55" s="18"/>
    </row>
    <row r="56" spans="2:21" x14ac:dyDescent="0.2">
      <c r="L56" s="18"/>
      <c r="P56" s="18"/>
      <c r="Q56" s="18"/>
      <c r="R56" s="18"/>
      <c r="S56" s="18"/>
      <c r="T56" s="18"/>
      <c r="U56" s="18"/>
    </row>
    <row r="57" spans="2:21" ht="21" x14ac:dyDescent="0.25">
      <c r="C57" s="11"/>
    </row>
    <row r="58" spans="2:21" x14ac:dyDescent="0.2">
      <c r="M58" s="38" t="s">
        <v>90</v>
      </c>
      <c r="N58" s="18"/>
    </row>
    <row r="59" spans="2:21" x14ac:dyDescent="0.2">
      <c r="M59" s="18" t="s">
        <v>103</v>
      </c>
    </row>
  </sheetData>
  <mergeCells count="39">
    <mergeCell ref="B53:C53"/>
    <mergeCell ref="B54:C54"/>
    <mergeCell ref="B39:C39"/>
    <mergeCell ref="B44:C44"/>
    <mergeCell ref="B45:C45"/>
    <mergeCell ref="B51:C51"/>
    <mergeCell ref="B52:C52"/>
    <mergeCell ref="B46:C46"/>
    <mergeCell ref="B40:C40"/>
    <mergeCell ref="B28:C28"/>
    <mergeCell ref="B32:C32"/>
    <mergeCell ref="B33:C33"/>
    <mergeCell ref="B34:C34"/>
    <mergeCell ref="B38:C38"/>
    <mergeCell ref="B16:C16"/>
    <mergeCell ref="B17:C17"/>
    <mergeCell ref="B18:C18"/>
    <mergeCell ref="B19:C19"/>
    <mergeCell ref="B27:C27"/>
    <mergeCell ref="B20:C20"/>
    <mergeCell ref="B21:C21"/>
    <mergeCell ref="B22:C22"/>
    <mergeCell ref="B23:C23"/>
    <mergeCell ref="B24:C24"/>
    <mergeCell ref="B11:C11"/>
    <mergeCell ref="B12:C12"/>
    <mergeCell ref="B13:C13"/>
    <mergeCell ref="B14:C14"/>
    <mergeCell ref="B15:C15"/>
    <mergeCell ref="D3:G3"/>
    <mergeCell ref="B7:C7"/>
    <mergeCell ref="B8:C8"/>
    <mergeCell ref="B9:C9"/>
    <mergeCell ref="B10:C10"/>
    <mergeCell ref="R35:S35"/>
    <mergeCell ref="T35:U35"/>
    <mergeCell ref="R43:S43"/>
    <mergeCell ref="T43:U43"/>
    <mergeCell ref="B47:C47"/>
  </mergeCells>
  <hyperlinks>
    <hyperlink ref="M36" r:id="rId1" xr:uid="{00000000-0004-0000-0000-000000000000}"/>
    <hyperlink ref="M58" r:id="rId2" xr:uid="{00000000-0004-0000-0000-000001000000}"/>
    <hyperlink ref="O29" r:id="rId3" xr:uid="{00000000-0004-0000-0000-000002000000}"/>
    <hyperlink ref="M12" r:id="rId4" xr:uid="{00000000-0004-0000-0000-000003000000}"/>
  </hyperlinks>
  <pageMargins left="0.7" right="0.7" top="0.75" bottom="0.75" header="0.3" footer="0.3"/>
  <pageSetup scale="71" orientation="landscape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Attributes</vt:lpstr>
      <vt:lpstr>Sheet1</vt:lpstr>
    </vt:vector>
  </TitlesOfParts>
  <Company>Perkins+Will,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Mott</dc:creator>
  <cp:lastModifiedBy>Microsoft Office User</cp:lastModifiedBy>
  <cp:lastPrinted>2017-01-09T18:29:58Z</cp:lastPrinted>
  <dcterms:created xsi:type="dcterms:W3CDTF">2014-08-13T21:00:17Z</dcterms:created>
  <dcterms:modified xsi:type="dcterms:W3CDTF">2020-07-30T22:45:58Z</dcterms:modified>
</cp:coreProperties>
</file>