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<sst xmlns="http://schemas.openxmlformats.org/spreadsheetml/2006/main" uniqueCount="1769" count="12045">
  <si>
    <t>Product</t>
  </si>
  <si>
    <t>Price</t>
  </si>
  <si>
    <t>Payment_Type</t>
  </si>
  <si>
    <t>Name</t>
  </si>
  <si>
    <t>City</t>
  </si>
  <si>
    <t>State</t>
  </si>
  <si>
    <t>Country</t>
  </si>
  <si>
    <t>Transaction_date</t>
  </si>
  <si>
    <t>Latitude</t>
  </si>
  <si>
    <t>Longitude</t>
  </si>
  <si>
    <t>Product1</t>
  </si>
  <si>
    <t>Mastercard</t>
  </si>
  <si>
    <t>Nikki</t>
  </si>
  <si>
    <t xml:space="preserve">New Rochelle                </t>
  </si>
  <si>
    <t>NY</t>
  </si>
  <si>
    <t>United States</t>
  </si>
  <si>
    <t>Si</t>
  </si>
  <si>
    <t>Holte</t>
  </si>
  <si>
    <t>Kobenhavn</t>
  </si>
  <si>
    <t>Denmark</t>
  </si>
  <si>
    <t>Saraya</t>
  </si>
  <si>
    <t>Dresden</t>
  </si>
  <si>
    <t>Saxony</t>
  </si>
  <si>
    <t>Germany</t>
  </si>
  <si>
    <t>Visa</t>
  </si>
  <si>
    <t>Lisa</t>
  </si>
  <si>
    <t xml:space="preserve">Sugar Land                  </t>
  </si>
  <si>
    <t>TX</t>
  </si>
  <si>
    <t>sunny</t>
  </si>
  <si>
    <t>Amsterdam</t>
  </si>
  <si>
    <t>Noord-Holland</t>
  </si>
  <si>
    <t>Netherlands</t>
  </si>
  <si>
    <t>Product3</t>
  </si>
  <si>
    <t>Amex</t>
  </si>
  <si>
    <t>Pamela</t>
  </si>
  <si>
    <t xml:space="preserve">Skaneateles                 </t>
  </si>
  <si>
    <t>Regina</t>
  </si>
  <si>
    <t>Glimmen</t>
  </si>
  <si>
    <t>Groningen</t>
  </si>
  <si>
    <t>Elaine</t>
  </si>
  <si>
    <t>Vicenza</t>
  </si>
  <si>
    <t>Veneto</t>
  </si>
  <si>
    <t>Italy</t>
  </si>
  <si>
    <t>Emer</t>
  </si>
  <si>
    <t xml:space="preserve">South Palm Beach            </t>
  </si>
  <si>
    <t>FL</t>
  </si>
  <si>
    <t>Nicole</t>
  </si>
  <si>
    <t>South Melbourne</t>
  </si>
  <si>
    <t>Victoria</t>
  </si>
  <si>
    <t>Australia</t>
  </si>
  <si>
    <t>Diners</t>
  </si>
  <si>
    <t>Babs</t>
  </si>
  <si>
    <t>Blackpool</t>
  </si>
  <si>
    <t>England</t>
  </si>
  <si>
    <t>United Kingdom</t>
  </si>
  <si>
    <t>Barbara</t>
  </si>
  <si>
    <t xml:space="preserve">La Crescenta                </t>
  </si>
  <si>
    <t>CA</t>
  </si>
  <si>
    <t>Product2</t>
  </si>
  <si>
    <t>Irene</t>
  </si>
  <si>
    <t>Munich</t>
  </si>
  <si>
    <t>Bayern</t>
  </si>
  <si>
    <t>Janis</t>
  </si>
  <si>
    <t>Ballynora</t>
  </si>
  <si>
    <t>Cork</t>
  </si>
  <si>
    <t>Ireland</t>
  </si>
  <si>
    <t>Marlene</t>
  </si>
  <si>
    <t xml:space="preserve">Edgewood                    </t>
  </si>
  <si>
    <t>WA</t>
  </si>
  <si>
    <t>seemab</t>
  </si>
  <si>
    <t>San Pawl tat-Targa</t>
  </si>
  <si>
    <t xml:space="preserve"> </t>
  </si>
  <si>
    <t>Malta</t>
  </si>
  <si>
    <t>Anne-line</t>
  </si>
  <si>
    <t>Zug</t>
  </si>
  <si>
    <t>Switzerland</t>
  </si>
  <si>
    <t>ashton</t>
  </si>
  <si>
    <t>Exeter</t>
  </si>
  <si>
    <t>Gabriel</t>
  </si>
  <si>
    <t>Three Hills</t>
  </si>
  <si>
    <t>Alberta</t>
  </si>
  <si>
    <t>Canada</t>
  </si>
  <si>
    <t>Liban</t>
  </si>
  <si>
    <t>Stavanger</t>
  </si>
  <si>
    <t>Rogaland</t>
  </si>
  <si>
    <t>Norway</t>
  </si>
  <si>
    <t>Toni</t>
  </si>
  <si>
    <t>Bolton</t>
  </si>
  <si>
    <t xml:space="preserve">Julie </t>
  </si>
  <si>
    <t xml:space="preserve">Rockville                   </t>
  </si>
  <si>
    <t>MD</t>
  </si>
  <si>
    <t xml:space="preserve">Andrea </t>
  </si>
  <si>
    <t xml:space="preserve">San Mateo                   </t>
  </si>
  <si>
    <t>Damali</t>
  </si>
  <si>
    <t>Toronto</t>
  </si>
  <si>
    <t>Ontario</t>
  </si>
  <si>
    <t>Maxine</t>
  </si>
  <si>
    <t xml:space="preserve">Morton                      </t>
  </si>
  <si>
    <t>IL</t>
  </si>
  <si>
    <t>nathalie</t>
  </si>
  <si>
    <t>Calgary</t>
  </si>
  <si>
    <t>Tina</t>
  </si>
  <si>
    <t>Anglesea</t>
  </si>
  <si>
    <t>Sam</t>
  </si>
  <si>
    <t>Tesvikiye</t>
  </si>
  <si>
    <t>Istanbul</t>
  </si>
  <si>
    <t>Turkey</t>
  </si>
  <si>
    <t>Lena</t>
  </si>
  <si>
    <t>Kuopio</t>
  </si>
  <si>
    <t>Ita-Suomen Laani</t>
  </si>
  <si>
    <t>Finland</t>
  </si>
  <si>
    <t>Morgan</t>
  </si>
  <si>
    <t>Coomera</t>
  </si>
  <si>
    <t>Queensland</t>
  </si>
  <si>
    <t>Kim</t>
  </si>
  <si>
    <t>Newcastle</t>
  </si>
  <si>
    <t>Wicklow</t>
  </si>
  <si>
    <t>chris</t>
  </si>
  <si>
    <t>London</t>
  </si>
  <si>
    <t>Tranby</t>
  </si>
  <si>
    <t>Buskerud</t>
  </si>
  <si>
    <t>gladys</t>
  </si>
  <si>
    <t>Saint Albans</t>
  </si>
  <si>
    <t>Betina</t>
  </si>
  <si>
    <t xml:space="preserve">Parkville                   </t>
  </si>
  <si>
    <t>MO</t>
  </si>
  <si>
    <t>Dr. Donald</t>
  </si>
  <si>
    <t>Stockton-on-Tees</t>
  </si>
  <si>
    <t>Mike</t>
  </si>
  <si>
    <t>Aberdeen</t>
  </si>
  <si>
    <t>Scotland</t>
  </si>
  <si>
    <t xml:space="preserve">Cindy </t>
  </si>
  <si>
    <t>Kemble</t>
  </si>
  <si>
    <t>carolina</t>
  </si>
  <si>
    <t>Basildon</t>
  </si>
  <si>
    <t xml:space="preserve">gail </t>
  </si>
  <si>
    <t>Fiona</t>
  </si>
  <si>
    <t>Lake Ronkonkoma</t>
  </si>
  <si>
    <t>Hani</t>
  </si>
  <si>
    <t xml:space="preserve">Salt Lake City              </t>
  </si>
  <si>
    <t>UT</t>
  </si>
  <si>
    <t>Naseer</t>
  </si>
  <si>
    <t>Line</t>
  </si>
  <si>
    <t>Budaors</t>
  </si>
  <si>
    <t>Pest</t>
  </si>
  <si>
    <t>Hungary</t>
  </si>
  <si>
    <t xml:space="preserve">Sean </t>
  </si>
  <si>
    <t xml:space="preserve">Shavano Park                </t>
  </si>
  <si>
    <t>camilla</t>
  </si>
  <si>
    <t xml:space="preserve">Chicago                     </t>
  </si>
  <si>
    <t>leigh</t>
  </si>
  <si>
    <t xml:space="preserve">Potomac Falls               </t>
  </si>
  <si>
    <t>VA</t>
  </si>
  <si>
    <t>Brandi</t>
  </si>
  <si>
    <t>Edmonton</t>
  </si>
  <si>
    <t>Kendra</t>
  </si>
  <si>
    <t>Andrew</t>
  </si>
  <si>
    <t>Sevilla</t>
  </si>
  <si>
    <t>Andalucia</t>
  </si>
  <si>
    <t>Spain</t>
  </si>
  <si>
    <t>Crystal</t>
  </si>
  <si>
    <t>Farmington</t>
  </si>
  <si>
    <t>Michigan</t>
  </si>
  <si>
    <t>Monique</t>
  </si>
  <si>
    <t xml:space="preserve">Waldorf                     </t>
  </si>
  <si>
    <t>Alice</t>
  </si>
  <si>
    <t>Nakskov</t>
  </si>
  <si>
    <t>Storstrom</t>
  </si>
  <si>
    <t>Federica e Andrea</t>
  </si>
  <si>
    <t xml:space="preserve">Astoria                     </t>
  </si>
  <si>
    <t>OR</t>
  </si>
  <si>
    <t>Alyssa</t>
  </si>
  <si>
    <t>Antibes</t>
  </si>
  <si>
    <t>Provence-Alpes-Cote d'Azur</t>
  </si>
  <si>
    <t>France</t>
  </si>
  <si>
    <t>Aaron</t>
  </si>
  <si>
    <t>Reading</t>
  </si>
  <si>
    <t>Richard</t>
  </si>
  <si>
    <t xml:space="preserve">Riverside                   </t>
  </si>
  <si>
    <t>NJ</t>
  </si>
  <si>
    <t>Rowena</t>
  </si>
  <si>
    <t>Brenda</t>
  </si>
  <si>
    <t>Saffron Walden</t>
  </si>
  <si>
    <t>Sonja</t>
  </si>
  <si>
    <t xml:space="preserve">Alpine                      </t>
  </si>
  <si>
    <t>clara</t>
  </si>
  <si>
    <t>Perth</t>
  </si>
  <si>
    <t>Western Australia</t>
  </si>
  <si>
    <t>Jammie</t>
  </si>
  <si>
    <t xml:space="preserve">Belmont                     </t>
  </si>
  <si>
    <t>MA</t>
  </si>
  <si>
    <t>odile</t>
  </si>
  <si>
    <t xml:space="preserve">Lititz                      </t>
  </si>
  <si>
    <t>PA</t>
  </si>
  <si>
    <t>Kathryn</t>
  </si>
  <si>
    <t>Kelly</t>
  </si>
  <si>
    <t xml:space="preserve">Hendersonville              </t>
  </si>
  <si>
    <t>TN</t>
  </si>
  <si>
    <t>adam</t>
  </si>
  <si>
    <t xml:space="preserve">Martin                      </t>
  </si>
  <si>
    <t>Katharina</t>
  </si>
  <si>
    <t xml:space="preserve">Flower Mound                </t>
  </si>
  <si>
    <t>Lynne</t>
  </si>
  <si>
    <t xml:space="preserve">Memphis                     </t>
  </si>
  <si>
    <t>eva</t>
  </si>
  <si>
    <t>Gisborne</t>
  </si>
  <si>
    <t>ayelet</t>
  </si>
  <si>
    <t>Malmo</t>
  </si>
  <si>
    <t>Skane</t>
  </si>
  <si>
    <t>Sweden</t>
  </si>
  <si>
    <t>Gerlinde</t>
  </si>
  <si>
    <t>Hellerup</t>
  </si>
  <si>
    <t>Genevieve</t>
  </si>
  <si>
    <t>Milton Keynes</t>
  </si>
  <si>
    <t>Sheila</t>
  </si>
  <si>
    <t xml:space="preserve">Brooklyn                    </t>
  </si>
  <si>
    <t>Sylvia</t>
  </si>
  <si>
    <t>Zekeriyakoy</t>
  </si>
  <si>
    <t>Kara</t>
  </si>
  <si>
    <t>Anja</t>
  </si>
  <si>
    <t xml:space="preserve">Gainesville                 </t>
  </si>
  <si>
    <t xml:space="preserve">Christiane </t>
  </si>
  <si>
    <t xml:space="preserve">Delray Beach                </t>
  </si>
  <si>
    <t>Djeiny</t>
  </si>
  <si>
    <t>paula</t>
  </si>
  <si>
    <t xml:space="preserve">Sammamish                   </t>
  </si>
  <si>
    <t>Maria and Timothy</t>
  </si>
  <si>
    <t xml:space="preserve">Fountain Hls                </t>
  </si>
  <si>
    <t>AZ</t>
  </si>
  <si>
    <t>caterina</t>
  </si>
  <si>
    <t xml:space="preserve">Burbank                     </t>
  </si>
  <si>
    <t>simone</t>
  </si>
  <si>
    <t>Mehmet Fatih</t>
  </si>
  <si>
    <t>Helsingor</t>
  </si>
  <si>
    <t>Frederiksborg</t>
  </si>
  <si>
    <t>Yvette</t>
  </si>
  <si>
    <t>Aubonne</t>
  </si>
  <si>
    <t>Vaud</t>
  </si>
  <si>
    <t>Andree</t>
  </si>
  <si>
    <t>Newmarket</t>
  </si>
  <si>
    <t>Rennae</t>
  </si>
  <si>
    <t xml:space="preserve">Amelia Island               </t>
  </si>
  <si>
    <t>sherry</t>
  </si>
  <si>
    <t xml:space="preserve">Las Vegas                   </t>
  </si>
  <si>
    <t>NV</t>
  </si>
  <si>
    <t>Kees en Valesca</t>
  </si>
  <si>
    <t>Scamander</t>
  </si>
  <si>
    <t>Tasmania</t>
  </si>
  <si>
    <t>Gouya</t>
  </si>
  <si>
    <t>Echuca</t>
  </si>
  <si>
    <t>Lindi</t>
  </si>
  <si>
    <t>Vancouver</t>
  </si>
  <si>
    <t>British Columbia</t>
  </si>
  <si>
    <t>Cindy</t>
  </si>
  <si>
    <t xml:space="preserve">Glendora                    </t>
  </si>
  <si>
    <t>Vanessa</t>
  </si>
  <si>
    <t>Cornwall</t>
  </si>
  <si>
    <t xml:space="preserve">asuncion </t>
  </si>
  <si>
    <t xml:space="preserve">Centennial                  </t>
  </si>
  <si>
    <t>CO</t>
  </si>
  <si>
    <t>Doug and Tina</t>
  </si>
  <si>
    <t xml:space="preserve">Pls Vrds Est                </t>
  </si>
  <si>
    <t>Leanne</t>
  </si>
  <si>
    <t>Julianstown</t>
  </si>
  <si>
    <t>Meath</t>
  </si>
  <si>
    <t>jeremy</t>
  </si>
  <si>
    <t>Charlestown</t>
  </si>
  <si>
    <t>New South Wales</t>
  </si>
  <si>
    <t>Scott</t>
  </si>
  <si>
    <t>Den Haag</t>
  </si>
  <si>
    <t>Zuid-Holland</t>
  </si>
  <si>
    <t>Samantha</t>
  </si>
  <si>
    <t>Watford</t>
  </si>
  <si>
    <t>DeeDee</t>
  </si>
  <si>
    <t>Songnae-dong</t>
  </si>
  <si>
    <t>Soul-t'ukpyolsi</t>
  </si>
  <si>
    <t>South Korea</t>
  </si>
  <si>
    <t>Lauren</t>
  </si>
  <si>
    <t>Hradec Kralove</t>
  </si>
  <si>
    <t>East Bohemia</t>
  </si>
  <si>
    <t>Czech Republic</t>
  </si>
  <si>
    <t>Rima</t>
  </si>
  <si>
    <t>Mullingar</t>
  </si>
  <si>
    <t>Westmeath</t>
  </si>
  <si>
    <t>Jamie</t>
  </si>
  <si>
    <t xml:space="preserve">Houston                     </t>
  </si>
  <si>
    <t>Gerhard</t>
  </si>
  <si>
    <t>Alliston</t>
  </si>
  <si>
    <t>Baybars</t>
  </si>
  <si>
    <t>Prince Albert</t>
  </si>
  <si>
    <t>Saskatchewan</t>
  </si>
  <si>
    <t>Charlene</t>
  </si>
  <si>
    <t>Jen</t>
  </si>
  <si>
    <t>Maidstone</t>
  </si>
  <si>
    <t>AMY</t>
  </si>
  <si>
    <t xml:space="preserve">The Woodlands               </t>
  </si>
  <si>
    <t>Rebecca</t>
  </si>
  <si>
    <t>Berlin</t>
  </si>
  <si>
    <t>Allison</t>
  </si>
  <si>
    <t xml:space="preserve">Naples                      </t>
  </si>
  <si>
    <t>Paul</t>
  </si>
  <si>
    <t>Burnaby</t>
  </si>
  <si>
    <t>Denise</t>
  </si>
  <si>
    <t>Montreal</t>
  </si>
  <si>
    <t>Quebec</t>
  </si>
  <si>
    <t>Kayla</t>
  </si>
  <si>
    <t>Leamington Spa</t>
  </si>
  <si>
    <t xml:space="preserve">Gerd W </t>
  </si>
  <si>
    <t xml:space="preserve">Cahaba Heights              </t>
  </si>
  <si>
    <t>AL</t>
  </si>
  <si>
    <t>Renee Elisabeth</t>
  </si>
  <si>
    <t>Tel Aviv</t>
  </si>
  <si>
    <t>Israel</t>
  </si>
  <si>
    <t>LAURENCE</t>
  </si>
  <si>
    <t xml:space="preserve">Mickleton                   </t>
  </si>
  <si>
    <t>Nuria</t>
  </si>
  <si>
    <t xml:space="preserve">Superior                    </t>
  </si>
  <si>
    <t>Tamar</t>
  </si>
  <si>
    <t>Headley</t>
  </si>
  <si>
    <t>carolien</t>
  </si>
  <si>
    <t xml:space="preserve">Mashpee                     </t>
  </si>
  <si>
    <t>Aidan</t>
  </si>
  <si>
    <t>Chatou</t>
  </si>
  <si>
    <t>Ile-de-France</t>
  </si>
  <si>
    <t>Carole</t>
  </si>
  <si>
    <t>Cardiff</t>
  </si>
  <si>
    <t>Wales</t>
  </si>
  <si>
    <t>Judith L.</t>
  </si>
  <si>
    <t xml:space="preserve">Scottsdale                  </t>
  </si>
  <si>
    <t>Amy</t>
  </si>
  <si>
    <t>Parramatta</t>
  </si>
  <si>
    <t>Clare</t>
  </si>
  <si>
    <t xml:space="preserve">Lafayette                   </t>
  </si>
  <si>
    <t>Dean</t>
  </si>
  <si>
    <t>Rockingham</t>
  </si>
  <si>
    <t>ruth</t>
  </si>
  <si>
    <t xml:space="preserve">Encinitas                   </t>
  </si>
  <si>
    <t>Erica</t>
  </si>
  <si>
    <t xml:space="preserve">Leesburg                    </t>
  </si>
  <si>
    <t>KELI</t>
  </si>
  <si>
    <t>Worongary</t>
  </si>
  <si>
    <t>Elisa</t>
  </si>
  <si>
    <t xml:space="preserve">Ottawa Hills                </t>
  </si>
  <si>
    <t>OH</t>
  </si>
  <si>
    <t>Fleur</t>
  </si>
  <si>
    <t xml:space="preserve">Peoria                      </t>
  </si>
  <si>
    <t>Christyna</t>
  </si>
  <si>
    <t>Lucien</t>
  </si>
  <si>
    <t>Wiesbaden</t>
  </si>
  <si>
    <t>Hessen</t>
  </si>
  <si>
    <t xml:space="preserve">Karoline </t>
  </si>
  <si>
    <t>Powell River</t>
  </si>
  <si>
    <t>Sarka</t>
  </si>
  <si>
    <t>Yellowknife</t>
  </si>
  <si>
    <t>Northwest Territories</t>
  </si>
  <si>
    <t>Bonnie</t>
  </si>
  <si>
    <t>Saltsjobaden</t>
  </si>
  <si>
    <t>Stockholm</t>
  </si>
  <si>
    <t>Gurgaon</t>
  </si>
  <si>
    <t>Haryana</t>
  </si>
  <si>
    <t>India</t>
  </si>
  <si>
    <t>Stacy</t>
  </si>
  <si>
    <t xml:space="preserve">New York                    </t>
  </si>
  <si>
    <t>Marion</t>
  </si>
  <si>
    <t>Rennes</t>
  </si>
  <si>
    <t>Brittany</t>
  </si>
  <si>
    <t>Elizabeth</t>
  </si>
  <si>
    <t>Nicola</t>
  </si>
  <si>
    <t>Roodepoort</t>
  </si>
  <si>
    <t>Gauteng</t>
  </si>
  <si>
    <t>South Africa</t>
  </si>
  <si>
    <t>M George</t>
  </si>
  <si>
    <t>Paris</t>
  </si>
  <si>
    <t>Ben</t>
  </si>
  <si>
    <t xml:space="preserve">Escondido                   </t>
  </si>
  <si>
    <t>Heidi</t>
  </si>
  <si>
    <t>Eindhoven</t>
  </si>
  <si>
    <t>Noord-Brabant</t>
  </si>
  <si>
    <t>Tracy</t>
  </si>
  <si>
    <t>Lucca</t>
  </si>
  <si>
    <t>Tuscany</t>
  </si>
  <si>
    <t>T</t>
  </si>
  <si>
    <t>Veigy-Foncenex</t>
  </si>
  <si>
    <t>Rhone-Alpes</t>
  </si>
  <si>
    <t xml:space="preserve">Annette </t>
  </si>
  <si>
    <t xml:space="preserve">Manhattan                   </t>
  </si>
  <si>
    <t>Claire</t>
  </si>
  <si>
    <t>Versoix</t>
  </si>
  <si>
    <t>Geneve</t>
  </si>
  <si>
    <t>Isabelle</t>
  </si>
  <si>
    <t xml:space="preserve">Ewa Beach                   </t>
  </si>
  <si>
    <t>HI</t>
  </si>
  <si>
    <t>isabel</t>
  </si>
  <si>
    <t>Ruti</t>
  </si>
  <si>
    <t>Zurich</t>
  </si>
  <si>
    <t>Marcia</t>
  </si>
  <si>
    <t>Telgte</t>
  </si>
  <si>
    <t>Nordrhein-Westfalen</t>
  </si>
  <si>
    <t>Sophie</t>
  </si>
  <si>
    <t xml:space="preserve">Bloomfield                  </t>
  </si>
  <si>
    <t>MI</t>
  </si>
  <si>
    <t>isabelle</t>
  </si>
  <si>
    <t>Sainte-Therese-de-Blainville</t>
  </si>
  <si>
    <t>Emillie</t>
  </si>
  <si>
    <t xml:space="preserve">Eagan                       </t>
  </si>
  <si>
    <t>MN</t>
  </si>
  <si>
    <t>Georgia</t>
  </si>
  <si>
    <t xml:space="preserve">Eagle                       </t>
  </si>
  <si>
    <t>ID</t>
  </si>
  <si>
    <t>Ec</t>
  </si>
  <si>
    <t>Clonmel</t>
  </si>
  <si>
    <t>Tipperary</t>
  </si>
  <si>
    <t>linda</t>
  </si>
  <si>
    <t xml:space="preserve">Arlington                   </t>
  </si>
  <si>
    <t>Courtney</t>
  </si>
  <si>
    <t xml:space="preserve">Mililani                    </t>
  </si>
  <si>
    <t>pirunkit</t>
  </si>
  <si>
    <t>Petworth</t>
  </si>
  <si>
    <t>Angie</t>
  </si>
  <si>
    <t xml:space="preserve">Rodeo                       </t>
  </si>
  <si>
    <t>Janet</t>
  </si>
  <si>
    <t>Ottawa</t>
  </si>
  <si>
    <t>Laasby</t>
  </si>
  <si>
    <t>Arhus</t>
  </si>
  <si>
    <t>Cameron</t>
  </si>
  <si>
    <t>Rungsted</t>
  </si>
  <si>
    <t xml:space="preserve">Pacific Beach               </t>
  </si>
  <si>
    <t>Katrin</t>
  </si>
  <si>
    <t>Manoj</t>
  </si>
  <si>
    <t xml:space="preserve">Boise                       </t>
  </si>
  <si>
    <t>Amanda</t>
  </si>
  <si>
    <t>Shenfield</t>
  </si>
  <si>
    <t>Stephanie</t>
  </si>
  <si>
    <t>Badhoevedorp</t>
  </si>
  <si>
    <t>Macy</t>
  </si>
  <si>
    <t>Inner City</t>
  </si>
  <si>
    <t>Vienna</t>
  </si>
  <si>
    <t>Austria</t>
  </si>
  <si>
    <t xml:space="preserve">Atchison                    </t>
  </si>
  <si>
    <t>KS</t>
  </si>
  <si>
    <t>Tammy</t>
  </si>
  <si>
    <t>Morges</t>
  </si>
  <si>
    <t>Ashford</t>
  </si>
  <si>
    <t>maggie</t>
  </si>
  <si>
    <t>Stockton</t>
  </si>
  <si>
    <t xml:space="preserve">Melissa </t>
  </si>
  <si>
    <t xml:space="preserve">Parkland                    </t>
  </si>
  <si>
    <t>Jeffrey</t>
  </si>
  <si>
    <t>Montreal-Nord</t>
  </si>
  <si>
    <t xml:space="preserve">Mc Lean                     </t>
  </si>
  <si>
    <t>katie</t>
  </si>
  <si>
    <t>Ruschlikon</t>
  </si>
  <si>
    <t>Carmen</t>
  </si>
  <si>
    <t>Bernadette</t>
  </si>
  <si>
    <t xml:space="preserve">Washington                  </t>
  </si>
  <si>
    <t>DC</t>
  </si>
  <si>
    <t>James</t>
  </si>
  <si>
    <t>Burpengary</t>
  </si>
  <si>
    <t xml:space="preserve">Louisville                  </t>
  </si>
  <si>
    <t>KY</t>
  </si>
  <si>
    <t>Frank</t>
  </si>
  <si>
    <t>Melbourne</t>
  </si>
  <si>
    <t>Polyxene</t>
  </si>
  <si>
    <t>Krista</t>
  </si>
  <si>
    <t>Bergen</t>
  </si>
  <si>
    <t>Hordaland</t>
  </si>
  <si>
    <t>Lina</t>
  </si>
  <si>
    <t>Edinburgh</t>
  </si>
  <si>
    <t>barbara</t>
  </si>
  <si>
    <t>Hyderabad</t>
  </si>
  <si>
    <t>Andhra Pradesh</t>
  </si>
  <si>
    <t>Astrid</t>
  </si>
  <si>
    <t>Altlengbach</t>
  </si>
  <si>
    <t>Lower Austria</t>
  </si>
  <si>
    <t>Abikay</t>
  </si>
  <si>
    <t xml:space="preserve">Atlanta                     </t>
  </si>
  <si>
    <t>GA</t>
  </si>
  <si>
    <t>mike</t>
  </si>
  <si>
    <t>La Louviere</t>
  </si>
  <si>
    <t>Hainaut</t>
  </si>
  <si>
    <t>Belgium</t>
  </si>
  <si>
    <t>asuman</t>
  </si>
  <si>
    <t xml:space="preserve">Chula Vista                 </t>
  </si>
  <si>
    <t>Anna</t>
  </si>
  <si>
    <t>Okotoks</t>
  </si>
  <si>
    <t>Sabine</t>
  </si>
  <si>
    <t xml:space="preserve">Reston                      </t>
  </si>
  <si>
    <t>Orit</t>
  </si>
  <si>
    <t xml:space="preserve">Dallas                      </t>
  </si>
  <si>
    <t>Frances</t>
  </si>
  <si>
    <t xml:space="preserve">San Diego                   </t>
  </si>
  <si>
    <t>Matt</t>
  </si>
  <si>
    <t xml:space="preserve">N Woodmere                  </t>
  </si>
  <si>
    <t xml:space="preserve">Charlene </t>
  </si>
  <si>
    <t>Bruce and Camille</t>
  </si>
  <si>
    <t xml:space="preserve">Clinton                     </t>
  </si>
  <si>
    <t>Trina</t>
  </si>
  <si>
    <t xml:space="preserve">Overland                    </t>
  </si>
  <si>
    <t>Audinet</t>
  </si>
  <si>
    <t xml:space="preserve">Cambridge                   </t>
  </si>
  <si>
    <t>Antonella</t>
  </si>
  <si>
    <t>Kaylee</t>
  </si>
  <si>
    <t xml:space="preserve">Penngrove                   </t>
  </si>
  <si>
    <t>Jeremy</t>
  </si>
  <si>
    <t>Manchester</t>
  </si>
  <si>
    <t>Fie</t>
  </si>
  <si>
    <t>Brussels</t>
  </si>
  <si>
    <t>Brussels (Bruxelles)</t>
  </si>
  <si>
    <t>Hilde Karin</t>
  </si>
  <si>
    <t>lydia</t>
  </si>
  <si>
    <t xml:space="preserve">Sandy Plains                </t>
  </si>
  <si>
    <t>Danielle</t>
  </si>
  <si>
    <t>Rathgar</t>
  </si>
  <si>
    <t>Dublin</t>
  </si>
  <si>
    <t>Margaret</t>
  </si>
  <si>
    <t xml:space="preserve">Terrell Hills               </t>
  </si>
  <si>
    <t>cristina</t>
  </si>
  <si>
    <t xml:space="preserve">Seattle                     </t>
  </si>
  <si>
    <t>Ann</t>
  </si>
  <si>
    <t xml:space="preserve">Austin                      </t>
  </si>
  <si>
    <t>Andrea</t>
  </si>
  <si>
    <t>Bubuieci</t>
  </si>
  <si>
    <t>Chisinau</t>
  </si>
  <si>
    <t>Moldova</t>
  </si>
  <si>
    <t>Cherie</t>
  </si>
  <si>
    <t xml:space="preserve">Columbus                    </t>
  </si>
  <si>
    <t>Triona</t>
  </si>
  <si>
    <t xml:space="preserve">Swampscott                  </t>
  </si>
  <si>
    <t>Tania</t>
  </si>
  <si>
    <t xml:space="preserve">Vista                       </t>
  </si>
  <si>
    <t>Christiane</t>
  </si>
  <si>
    <t>Mission</t>
  </si>
  <si>
    <t>Kofi</t>
  </si>
  <si>
    <t>Ritz</t>
  </si>
  <si>
    <t xml:space="preserve">Pittsfield                  </t>
  </si>
  <si>
    <t>VT</t>
  </si>
  <si>
    <t>Deirdre</t>
  </si>
  <si>
    <t>Lausanne</t>
  </si>
  <si>
    <t>Emily</t>
  </si>
  <si>
    <t>Vecmilgravis</t>
  </si>
  <si>
    <t>Riga</t>
  </si>
  <si>
    <t>Latvia</t>
  </si>
  <si>
    <t>Gries</t>
  </si>
  <si>
    <t>Rhineland-Palatinate</t>
  </si>
  <si>
    <t xml:space="preserve">Tiffany </t>
  </si>
  <si>
    <t xml:space="preserve">June </t>
  </si>
  <si>
    <t xml:space="preserve">Beachwood                   </t>
  </si>
  <si>
    <t>Therese</t>
  </si>
  <si>
    <t>Clontarf</t>
  </si>
  <si>
    <t>Jocelyn</t>
  </si>
  <si>
    <t>Bruxelles</t>
  </si>
  <si>
    <t xml:space="preserve">Cherish </t>
  </si>
  <si>
    <t xml:space="preserve">Anchorage                   </t>
  </si>
  <si>
    <t>AK</t>
  </si>
  <si>
    <t>Marie</t>
  </si>
  <si>
    <t xml:space="preserve">Ball Ground                 </t>
  </si>
  <si>
    <t>john</t>
  </si>
  <si>
    <t>Glan-Munchweiler</t>
  </si>
  <si>
    <t>maria</t>
  </si>
  <si>
    <t>Bryan Kerrene</t>
  </si>
  <si>
    <t xml:space="preserve">Jannik </t>
  </si>
  <si>
    <t>Holmenkollen</t>
  </si>
  <si>
    <t>Oslo</t>
  </si>
  <si>
    <t>C</t>
  </si>
  <si>
    <t xml:space="preserve">Chandler                    </t>
  </si>
  <si>
    <t>Darren</t>
  </si>
  <si>
    <t xml:space="preserve">Pittsboro                   </t>
  </si>
  <si>
    <t>NC</t>
  </si>
  <si>
    <t>Emma</t>
  </si>
  <si>
    <t>Sydney</t>
  </si>
  <si>
    <t>VIOLETA</t>
  </si>
  <si>
    <t xml:space="preserve">Silver Spring               </t>
  </si>
  <si>
    <t xml:space="preserve">claire </t>
  </si>
  <si>
    <t>Ballyneety</t>
  </si>
  <si>
    <t>Limerick</t>
  </si>
  <si>
    <t>Nadur</t>
  </si>
  <si>
    <t>Natasha</t>
  </si>
  <si>
    <t>Milano</t>
  </si>
  <si>
    <t>Lombardy</t>
  </si>
  <si>
    <t xml:space="preserve">Stamford                    </t>
  </si>
  <si>
    <t>CT</t>
  </si>
  <si>
    <t>Niki</t>
  </si>
  <si>
    <t>Trelex</t>
  </si>
  <si>
    <t>Darian</t>
  </si>
  <si>
    <t>Izmir</t>
  </si>
  <si>
    <t>Sarah</t>
  </si>
  <si>
    <t>Warwick</t>
  </si>
  <si>
    <t>Calne</t>
  </si>
  <si>
    <t>Mary</t>
  </si>
  <si>
    <t>Baile Atha Bui</t>
  </si>
  <si>
    <t>Stuttgart</t>
  </si>
  <si>
    <t>Baden-Wurttemberg</t>
  </si>
  <si>
    <t>megan</t>
  </si>
  <si>
    <t xml:space="preserve">West Hills                  </t>
  </si>
  <si>
    <t>Elsa</t>
  </si>
  <si>
    <t>Waiwera</t>
  </si>
  <si>
    <t>Auckland</t>
  </si>
  <si>
    <t>New Zealand</t>
  </si>
  <si>
    <t>Cassandra</t>
  </si>
  <si>
    <t xml:space="preserve">San Carlos                  </t>
  </si>
  <si>
    <t>Jennifer</t>
  </si>
  <si>
    <t>Drogheda</t>
  </si>
  <si>
    <t>Louth</t>
  </si>
  <si>
    <t>Anabela</t>
  </si>
  <si>
    <t xml:space="preserve">Flossmoor                   </t>
  </si>
  <si>
    <t>Alex</t>
  </si>
  <si>
    <t xml:space="preserve">Augusta                     </t>
  </si>
  <si>
    <t xml:space="preserve">Dickerson                   </t>
  </si>
  <si>
    <t>Selma</t>
  </si>
  <si>
    <t xml:space="preserve">Greenville                  </t>
  </si>
  <si>
    <t>Marie-Christine</t>
  </si>
  <si>
    <t xml:space="preserve">Durham                      </t>
  </si>
  <si>
    <t xml:space="preserve">Englewood                   </t>
  </si>
  <si>
    <t xml:space="preserve">Orlando                     </t>
  </si>
  <si>
    <t>loudon</t>
  </si>
  <si>
    <t>TRICIA</t>
  </si>
  <si>
    <t>Delphine</t>
  </si>
  <si>
    <t xml:space="preserve">Santa Monica                </t>
  </si>
  <si>
    <t>Karen</t>
  </si>
  <si>
    <t>Gina</t>
  </si>
  <si>
    <t>Red Deer</t>
  </si>
  <si>
    <t>Esther</t>
  </si>
  <si>
    <t xml:space="preserve">Cincinnati                  </t>
  </si>
  <si>
    <t>lailani</t>
  </si>
  <si>
    <t>ZOE</t>
  </si>
  <si>
    <t>New Plymouth City</t>
  </si>
  <si>
    <t>Taranaki</t>
  </si>
  <si>
    <t>Family</t>
  </si>
  <si>
    <t xml:space="preserve">Los Gatos                   </t>
  </si>
  <si>
    <t>SYLVIA</t>
  </si>
  <si>
    <t>Vesenaz</t>
  </si>
  <si>
    <t>Ken</t>
  </si>
  <si>
    <t>Sidcup</t>
  </si>
  <si>
    <t>Caroline</t>
  </si>
  <si>
    <t>Begnins</t>
  </si>
  <si>
    <t>Linda</t>
  </si>
  <si>
    <t xml:space="preserve">Miami                       </t>
  </si>
  <si>
    <t>amanda</t>
  </si>
  <si>
    <t>Liverpool</t>
  </si>
  <si>
    <t>Katherine</t>
  </si>
  <si>
    <t>Elyssa</t>
  </si>
  <si>
    <t>Gdansk</t>
  </si>
  <si>
    <t>Pomorskie</t>
  </si>
  <si>
    <t>Poland</t>
  </si>
  <si>
    <t>Alan</t>
  </si>
  <si>
    <t>Malahide</t>
  </si>
  <si>
    <t>Rich</t>
  </si>
  <si>
    <t>Ingelheim-Mitte</t>
  </si>
  <si>
    <t>anne</t>
  </si>
  <si>
    <t>Bournemouth</t>
  </si>
  <si>
    <t>Karin</t>
  </si>
  <si>
    <t>High Wycombe</t>
  </si>
  <si>
    <t>Doug</t>
  </si>
  <si>
    <t xml:space="preserve">Huntington                  </t>
  </si>
  <si>
    <t>Kasey</t>
  </si>
  <si>
    <t>Aix-en-Provence</t>
  </si>
  <si>
    <t>Benoit</t>
  </si>
  <si>
    <t>Fort Saint James</t>
  </si>
  <si>
    <t>Catherine</t>
  </si>
  <si>
    <t>Mount Forest</t>
  </si>
  <si>
    <t>Liz</t>
  </si>
  <si>
    <t>Langnau</t>
  </si>
  <si>
    <t>Caren</t>
  </si>
  <si>
    <t>Braunschweig</t>
  </si>
  <si>
    <t>Lower Saxony</t>
  </si>
  <si>
    <t>julie</t>
  </si>
  <si>
    <t>Haverhill</t>
  </si>
  <si>
    <t>jennifer</t>
  </si>
  <si>
    <t xml:space="preserve">Morro Bay                   </t>
  </si>
  <si>
    <t>Trine Marie</t>
  </si>
  <si>
    <t>Orillia</t>
  </si>
  <si>
    <t>Dr. Claudia</t>
  </si>
  <si>
    <t>valerie et nicolas</t>
  </si>
  <si>
    <t xml:space="preserve">Glenn Dale                  </t>
  </si>
  <si>
    <t>Mimi</t>
  </si>
  <si>
    <t>Monte-Carlo</t>
  </si>
  <si>
    <t>Monaco</t>
  </si>
  <si>
    <t>Bruce</t>
  </si>
  <si>
    <t>Belleville</t>
  </si>
  <si>
    <t>Angelina  Patrick</t>
  </si>
  <si>
    <t>Dottie</t>
  </si>
  <si>
    <t xml:space="preserve">Woodsboro                   </t>
  </si>
  <si>
    <t xml:space="preserve">Phoenix                     </t>
  </si>
  <si>
    <t>Veronique</t>
  </si>
  <si>
    <t xml:space="preserve">Tenafly                     </t>
  </si>
  <si>
    <t>Nadine</t>
  </si>
  <si>
    <t xml:space="preserve">Belgrade                    </t>
  </si>
  <si>
    <t>MT</t>
  </si>
  <si>
    <t>Christian</t>
  </si>
  <si>
    <t xml:space="preserve">Mableton                    </t>
  </si>
  <si>
    <t>PATRICK</t>
  </si>
  <si>
    <t>Ban Khlong Sip</t>
  </si>
  <si>
    <t>Krung Thep</t>
  </si>
  <si>
    <t>Thailand</t>
  </si>
  <si>
    <t>Pam and Rob</t>
  </si>
  <si>
    <t xml:space="preserve">Yorba Linda                 </t>
  </si>
  <si>
    <t>Dickson</t>
  </si>
  <si>
    <t>Kemerburgaz</t>
  </si>
  <si>
    <t>Jacob</t>
  </si>
  <si>
    <t>Lindfield</t>
  </si>
  <si>
    <t>Sabrina</t>
  </si>
  <si>
    <t>Rambouillet</t>
  </si>
  <si>
    <t>Ghislaine</t>
  </si>
  <si>
    <t>Ferney-Voltaire</t>
  </si>
  <si>
    <t>Ravinder</t>
  </si>
  <si>
    <t>Lurgan</t>
  </si>
  <si>
    <t>Northern Ireland</t>
  </si>
  <si>
    <t>Roza</t>
  </si>
  <si>
    <t>Alcobendas</t>
  </si>
  <si>
    <t>Madrid</t>
  </si>
  <si>
    <t>Anneli</t>
  </si>
  <si>
    <t xml:space="preserve">Rochester Hills             </t>
  </si>
  <si>
    <t>Precious</t>
  </si>
  <si>
    <t xml:space="preserve">Debora </t>
  </si>
  <si>
    <t xml:space="preserve">Wall                        </t>
  </si>
  <si>
    <t>HELIDA</t>
  </si>
  <si>
    <t xml:space="preserve">White House                 </t>
  </si>
  <si>
    <t>Jenna and Paul</t>
  </si>
  <si>
    <t xml:space="preserve">Senatobia                   </t>
  </si>
  <si>
    <t>MS</t>
  </si>
  <si>
    <t>Jasinta Jeanne</t>
  </si>
  <si>
    <t xml:space="preserve">Owings Mills                </t>
  </si>
  <si>
    <t>Guer</t>
  </si>
  <si>
    <t>Leah</t>
  </si>
  <si>
    <t>Castleknock</t>
  </si>
  <si>
    <t>Laine</t>
  </si>
  <si>
    <t>Nona</t>
  </si>
  <si>
    <t xml:space="preserve">South Jordan                </t>
  </si>
  <si>
    <t>Bob</t>
  </si>
  <si>
    <t>John</t>
  </si>
  <si>
    <t>Banbury</t>
  </si>
  <si>
    <t>Reto</t>
  </si>
  <si>
    <t xml:space="preserve">alex </t>
  </si>
  <si>
    <t xml:space="preserve">Farmingtn Hls               </t>
  </si>
  <si>
    <t xml:space="preserve">Nicole </t>
  </si>
  <si>
    <t>Basingstoke</t>
  </si>
  <si>
    <t>Sari</t>
  </si>
  <si>
    <t>Newbury</t>
  </si>
  <si>
    <t>Nordstrand</t>
  </si>
  <si>
    <t>David</t>
  </si>
  <si>
    <t xml:space="preserve">Alpharetta                  </t>
  </si>
  <si>
    <t>Tarah</t>
  </si>
  <si>
    <t xml:space="preserve">San Jose                    </t>
  </si>
  <si>
    <t xml:space="preserve">Beckie </t>
  </si>
  <si>
    <t xml:space="preserve">Ladera Ranch                </t>
  </si>
  <si>
    <t>Mona</t>
  </si>
  <si>
    <t>Kelowna</t>
  </si>
  <si>
    <t xml:space="preserve">Lizelle </t>
  </si>
  <si>
    <t>frauke</t>
  </si>
  <si>
    <t>Horten</t>
  </si>
  <si>
    <t>Vestfold</t>
  </si>
  <si>
    <t>stacy</t>
  </si>
  <si>
    <t>Jessica</t>
  </si>
  <si>
    <t>Oldenburg</t>
  </si>
  <si>
    <t xml:space="preserve">Gloria Gail </t>
  </si>
  <si>
    <t>Foxrock</t>
  </si>
  <si>
    <t>CLARE</t>
  </si>
  <si>
    <t xml:space="preserve">San Francisco               </t>
  </si>
  <si>
    <t>Peter</t>
  </si>
  <si>
    <t>Shankill</t>
  </si>
  <si>
    <t>Laura</t>
  </si>
  <si>
    <t>Jumeira</t>
  </si>
  <si>
    <t>Dubayy</t>
  </si>
  <si>
    <t>United Arab Emirates</t>
  </si>
  <si>
    <t>suzanne</t>
  </si>
  <si>
    <t xml:space="preserve">Lemont                      </t>
  </si>
  <si>
    <t>Eleanor</t>
  </si>
  <si>
    <t xml:space="preserve">Patricia </t>
  </si>
  <si>
    <t xml:space="preserve">Portola Valley              </t>
  </si>
  <si>
    <t>luisa</t>
  </si>
  <si>
    <t>Gorey</t>
  </si>
  <si>
    <t>Jersey</t>
  </si>
  <si>
    <t>Cheryl</t>
  </si>
  <si>
    <t xml:space="preserve">Hilton Head                 </t>
  </si>
  <si>
    <t>SC</t>
  </si>
  <si>
    <t>Joanna</t>
  </si>
  <si>
    <t xml:space="preserve">Little Silver               </t>
  </si>
  <si>
    <t>Martin</t>
  </si>
  <si>
    <t>Ludwigsburg</t>
  </si>
  <si>
    <t>Karina</t>
  </si>
  <si>
    <t xml:space="preserve">Fort Lauderdale             </t>
  </si>
  <si>
    <t xml:space="preserve">Sandy Springs               </t>
  </si>
  <si>
    <t>Rachel</t>
  </si>
  <si>
    <t>Hamilton</t>
  </si>
  <si>
    <t>Kevin</t>
  </si>
  <si>
    <t>Cheltenham</t>
  </si>
  <si>
    <t>Anupam</t>
  </si>
  <si>
    <t>Kinsaley</t>
  </si>
  <si>
    <t>Angela</t>
  </si>
  <si>
    <t xml:space="preserve">Ankeny                      </t>
  </si>
  <si>
    <t>IA</t>
  </si>
  <si>
    <t>Maricel</t>
  </si>
  <si>
    <t xml:space="preserve">Malibu                      </t>
  </si>
  <si>
    <t xml:space="preserve">Jo </t>
  </si>
  <si>
    <t xml:space="preserve">Huntington Beach            </t>
  </si>
  <si>
    <t>Hollie</t>
  </si>
  <si>
    <t>Jiri</t>
  </si>
  <si>
    <t xml:space="preserve">Vienna                      </t>
  </si>
  <si>
    <t>Sharon</t>
  </si>
  <si>
    <t>Ajax</t>
  </si>
  <si>
    <t>Craig</t>
  </si>
  <si>
    <t>Anushka</t>
  </si>
  <si>
    <t>Maple Ridge District Municipality</t>
  </si>
  <si>
    <t>Chris</t>
  </si>
  <si>
    <t>Gold Coast</t>
  </si>
  <si>
    <t>Hans</t>
  </si>
  <si>
    <t xml:space="preserve">Knoxville                   </t>
  </si>
  <si>
    <t>William</t>
  </si>
  <si>
    <t>Chalfont Saint Peter</t>
  </si>
  <si>
    <t>Sandra  Thierry  Zoe</t>
  </si>
  <si>
    <t xml:space="preserve">Marietta                    </t>
  </si>
  <si>
    <t>A</t>
  </si>
  <si>
    <t xml:space="preserve">Saint Petersburg            </t>
  </si>
  <si>
    <t>Shiree</t>
  </si>
  <si>
    <t>Clondalkin</t>
  </si>
  <si>
    <t>Aziz</t>
  </si>
  <si>
    <t>Irpin'</t>
  </si>
  <si>
    <t>Kiev</t>
  </si>
  <si>
    <t>Ukraine</t>
  </si>
  <si>
    <t>Oswald</t>
  </si>
  <si>
    <t>Tramore</t>
  </si>
  <si>
    <t>Waterford</t>
  </si>
  <si>
    <t>LAURIE</t>
  </si>
  <si>
    <t>Guildford</t>
  </si>
  <si>
    <t>Juliann</t>
  </si>
  <si>
    <t xml:space="preserve">Winter Spgs                 </t>
  </si>
  <si>
    <t xml:space="preserve">Chelsey </t>
  </si>
  <si>
    <t xml:space="preserve">Ashburn                     </t>
  </si>
  <si>
    <t>Bato</t>
  </si>
  <si>
    <t>Munchengosserstadt</t>
  </si>
  <si>
    <t>Thuringia</t>
  </si>
  <si>
    <t xml:space="preserve">familly </t>
  </si>
  <si>
    <t>Creemore</t>
  </si>
  <si>
    <t>AnaPaula</t>
  </si>
  <si>
    <t>Helens Bay</t>
  </si>
  <si>
    <t>Hofheim am Taunus</t>
  </si>
  <si>
    <t>Klara</t>
  </si>
  <si>
    <t xml:space="preserve">Spring Lake Park            </t>
  </si>
  <si>
    <t>Stefan</t>
  </si>
  <si>
    <t>Hollyn</t>
  </si>
  <si>
    <t>Helga</t>
  </si>
  <si>
    <t>Marina</t>
  </si>
  <si>
    <t xml:space="preserve">Minneapolis                 </t>
  </si>
  <si>
    <t>Rosa Maria</t>
  </si>
  <si>
    <t>shelby</t>
  </si>
  <si>
    <t xml:space="preserve">Plantation                  </t>
  </si>
  <si>
    <t>Aardal</t>
  </si>
  <si>
    <t>Sogn og Fjordane</t>
  </si>
  <si>
    <t>kirsten</t>
  </si>
  <si>
    <t>Bishops Stortford</t>
  </si>
  <si>
    <t>Antje</t>
  </si>
  <si>
    <t xml:space="preserve">Sacramento                  </t>
  </si>
  <si>
    <t xml:space="preserve">Newtown                     </t>
  </si>
  <si>
    <t>Danny</t>
  </si>
  <si>
    <t xml:space="preserve">St Thomas                   </t>
  </si>
  <si>
    <t>VI</t>
  </si>
  <si>
    <t>Maja</t>
  </si>
  <si>
    <t xml:space="preserve">Hoschton                    </t>
  </si>
  <si>
    <t>STEPHANIE</t>
  </si>
  <si>
    <t>Mona Vale</t>
  </si>
  <si>
    <t>Brondby Strand</t>
  </si>
  <si>
    <t>IMAN</t>
  </si>
  <si>
    <t>Brisbane</t>
  </si>
  <si>
    <t>Beate</t>
  </si>
  <si>
    <t>Hamburg</t>
  </si>
  <si>
    <t>Valda</t>
  </si>
  <si>
    <t xml:space="preserve">Irvine                      </t>
  </si>
  <si>
    <t>chrissy</t>
  </si>
  <si>
    <t xml:space="preserve">W Lebanon                   </t>
  </si>
  <si>
    <t>NH</t>
  </si>
  <si>
    <t>Bernadett</t>
  </si>
  <si>
    <t>Southampton</t>
  </si>
  <si>
    <t>Brona</t>
  </si>
  <si>
    <t>Dez</t>
  </si>
  <si>
    <t>Al 'Adliyah</t>
  </si>
  <si>
    <t>Al Manamah</t>
  </si>
  <si>
    <t>Bahrain</t>
  </si>
  <si>
    <t xml:space="preserve">Fairfax                     </t>
  </si>
  <si>
    <t>Megan</t>
  </si>
  <si>
    <t>La Alberca</t>
  </si>
  <si>
    <t>Murcia</t>
  </si>
  <si>
    <t xml:space="preserve">Francoise </t>
  </si>
  <si>
    <t xml:space="preserve">Danville                    </t>
  </si>
  <si>
    <t>mary</t>
  </si>
  <si>
    <t>Nacka</t>
  </si>
  <si>
    <t xml:space="preserve">Winter Haven                </t>
  </si>
  <si>
    <t>Petra</t>
  </si>
  <si>
    <t>Bellinzona</t>
  </si>
  <si>
    <t>Ticino</t>
  </si>
  <si>
    <t>Judy</t>
  </si>
  <si>
    <t>Justine</t>
  </si>
  <si>
    <t>Debra</t>
  </si>
  <si>
    <t xml:space="preserve">Veronique </t>
  </si>
  <si>
    <t>Tsawwassen</t>
  </si>
  <si>
    <t xml:space="preserve">South Waterford             </t>
  </si>
  <si>
    <t>ME</t>
  </si>
  <si>
    <t xml:space="preserve">Milford                     </t>
  </si>
  <si>
    <t>Ed</t>
  </si>
  <si>
    <t>JP</t>
  </si>
  <si>
    <t>Tierp</t>
  </si>
  <si>
    <t>Uppsala</t>
  </si>
  <si>
    <t>Leila</t>
  </si>
  <si>
    <t>Ponte San Nicolo</t>
  </si>
  <si>
    <t>Eric</t>
  </si>
  <si>
    <t>Gasperich</t>
  </si>
  <si>
    <t>Luxembourg</t>
  </si>
  <si>
    <t>dia</t>
  </si>
  <si>
    <t>Claygate</t>
  </si>
  <si>
    <t>steve</t>
  </si>
  <si>
    <t>Evires</t>
  </si>
  <si>
    <t>Holly</t>
  </si>
  <si>
    <t xml:space="preserve">Deptford                    </t>
  </si>
  <si>
    <t>Camille and Carmen</t>
  </si>
  <si>
    <t>Thorlakshofn</t>
  </si>
  <si>
    <t>Iceland</t>
  </si>
  <si>
    <t>Vicki and Bill</t>
  </si>
  <si>
    <t>elizabeth r</t>
  </si>
  <si>
    <t>Alfredo A</t>
  </si>
  <si>
    <t>Anthony</t>
  </si>
  <si>
    <t xml:space="preserve">Victor                      </t>
  </si>
  <si>
    <t>Lydia</t>
  </si>
  <si>
    <t>Comox</t>
  </si>
  <si>
    <t xml:space="preserve">Blanca Gabriela </t>
  </si>
  <si>
    <t xml:space="preserve">Irving                      </t>
  </si>
  <si>
    <t>Glen</t>
  </si>
  <si>
    <t>Atlantida</t>
  </si>
  <si>
    <t>Guatemala</t>
  </si>
  <si>
    <t xml:space="preserve">Alicja </t>
  </si>
  <si>
    <t xml:space="preserve">Kenmore                     </t>
  </si>
  <si>
    <t xml:space="preserve">Julia </t>
  </si>
  <si>
    <t xml:space="preserve">Madison                     </t>
  </si>
  <si>
    <t>WI</t>
  </si>
  <si>
    <t>Lusell</t>
  </si>
  <si>
    <t>Oberwil</t>
  </si>
  <si>
    <t>Basel-Country</t>
  </si>
  <si>
    <t>Lyngby</t>
  </si>
  <si>
    <t>Filip and Teresa</t>
  </si>
  <si>
    <t>Centurion</t>
  </si>
  <si>
    <t>Damian</t>
  </si>
  <si>
    <t>Mettlach</t>
  </si>
  <si>
    <t>Saarland</t>
  </si>
  <si>
    <t>Maryse</t>
  </si>
  <si>
    <t>Rathfarnham</t>
  </si>
  <si>
    <t>Robin</t>
  </si>
  <si>
    <t>Milan</t>
  </si>
  <si>
    <t>Kit</t>
  </si>
  <si>
    <t xml:space="preserve">Suwanee                     </t>
  </si>
  <si>
    <t>Gitte</t>
  </si>
  <si>
    <t xml:space="preserve">Staten Island               </t>
  </si>
  <si>
    <t>Daniele</t>
  </si>
  <si>
    <t xml:space="preserve">Katy                        </t>
  </si>
  <si>
    <t>Zane</t>
  </si>
  <si>
    <t>Warlingham</t>
  </si>
  <si>
    <t>sangeeta</t>
  </si>
  <si>
    <t>Vossevangen</t>
  </si>
  <si>
    <t>Sigrun</t>
  </si>
  <si>
    <t xml:space="preserve">Nashville                   </t>
  </si>
  <si>
    <t>Kerry</t>
  </si>
  <si>
    <t>Anieres</t>
  </si>
  <si>
    <t xml:space="preserve">North Eastham               </t>
  </si>
  <si>
    <t>Priska</t>
  </si>
  <si>
    <t xml:space="preserve">Keller                      </t>
  </si>
  <si>
    <t>Anett</t>
  </si>
  <si>
    <t>Gosport</t>
  </si>
  <si>
    <t>alice and rudolf</t>
  </si>
  <si>
    <t xml:space="preserve">Baltimore                   </t>
  </si>
  <si>
    <t>Majken</t>
  </si>
  <si>
    <t>Charlottenlund</t>
  </si>
  <si>
    <t>Louise</t>
  </si>
  <si>
    <t>Joanne</t>
  </si>
  <si>
    <t>Castlebar</t>
  </si>
  <si>
    <t>Mayo</t>
  </si>
  <si>
    <t>Christof and Heidi</t>
  </si>
  <si>
    <t>Barcelona</t>
  </si>
  <si>
    <t>Catalonia</t>
  </si>
  <si>
    <t>george</t>
  </si>
  <si>
    <t>leiser</t>
  </si>
  <si>
    <t xml:space="preserve">N Java                      </t>
  </si>
  <si>
    <t>Beatriz</t>
  </si>
  <si>
    <t xml:space="preserve">Centerport                  </t>
  </si>
  <si>
    <t>Maggie</t>
  </si>
  <si>
    <t xml:space="preserve">Jolene </t>
  </si>
  <si>
    <t>Alison</t>
  </si>
  <si>
    <t xml:space="preserve">Hampton                     </t>
  </si>
  <si>
    <t>Winnipeg</t>
  </si>
  <si>
    <t>Manitoba</t>
  </si>
  <si>
    <t>Tod</t>
  </si>
  <si>
    <t xml:space="preserve">Coral Gables                </t>
  </si>
  <si>
    <t>Piret</t>
  </si>
  <si>
    <t>Bunbury</t>
  </si>
  <si>
    <t>Michael</t>
  </si>
  <si>
    <t>Newburgh</t>
  </si>
  <si>
    <t>jo</t>
  </si>
  <si>
    <t>Ballincollig</t>
  </si>
  <si>
    <t>Michelle</t>
  </si>
  <si>
    <t>ZENA</t>
  </si>
  <si>
    <t xml:space="preserve">Honolulu                    </t>
  </si>
  <si>
    <t>Kristen</t>
  </si>
  <si>
    <t>Binningen</t>
  </si>
  <si>
    <t>Kate</t>
  </si>
  <si>
    <t xml:space="preserve">Broadlands                  </t>
  </si>
  <si>
    <t>Bent Erik</t>
  </si>
  <si>
    <t>Basauri</t>
  </si>
  <si>
    <t>Pais Vasco</t>
  </si>
  <si>
    <t>Ruth</t>
  </si>
  <si>
    <t>Saskatoon</t>
  </si>
  <si>
    <t>jingyan</t>
  </si>
  <si>
    <t xml:space="preserve">Bristol                     </t>
  </si>
  <si>
    <t>RI</t>
  </si>
  <si>
    <t>Ellen</t>
  </si>
  <si>
    <t xml:space="preserve">Owensboro                   </t>
  </si>
  <si>
    <t>Diana</t>
  </si>
  <si>
    <t>Campinas</t>
  </si>
  <si>
    <t>Sao Paulo</t>
  </si>
  <si>
    <t>Brazil</t>
  </si>
  <si>
    <t>Kenny</t>
  </si>
  <si>
    <t xml:space="preserve">Kailua Kona                 </t>
  </si>
  <si>
    <t>Lainey</t>
  </si>
  <si>
    <t xml:space="preserve">Lakeville                   </t>
  </si>
  <si>
    <t>SUSAN</t>
  </si>
  <si>
    <t>Oxford</t>
  </si>
  <si>
    <t>Richard and Comfort</t>
  </si>
  <si>
    <t>Regensdorf</t>
  </si>
  <si>
    <t>eugenia</t>
  </si>
  <si>
    <t xml:space="preserve">Wisconsin Rapids            </t>
  </si>
  <si>
    <t>ayse</t>
  </si>
  <si>
    <t xml:space="preserve">Redondo Beach               </t>
  </si>
  <si>
    <t xml:space="preserve">Woodland Hills              </t>
  </si>
  <si>
    <t>Wouter and Andrea</t>
  </si>
  <si>
    <t>luciana</t>
  </si>
  <si>
    <t xml:space="preserve">Athens                      </t>
  </si>
  <si>
    <t>Janaina</t>
  </si>
  <si>
    <t xml:space="preserve">Lakewood Village            </t>
  </si>
  <si>
    <t>Roquefort</t>
  </si>
  <si>
    <t>Alexis</t>
  </si>
  <si>
    <t xml:space="preserve">Genoa                       </t>
  </si>
  <si>
    <t>Rouen</t>
  </si>
  <si>
    <t>Upper Normandy</t>
  </si>
  <si>
    <t>catherine</t>
  </si>
  <si>
    <t>Pam</t>
  </si>
  <si>
    <t>Derrick</t>
  </si>
  <si>
    <t>North Bay</t>
  </si>
  <si>
    <t>Dave and Amy</t>
  </si>
  <si>
    <t xml:space="preserve">Norfolk                     </t>
  </si>
  <si>
    <t>Celina</t>
  </si>
  <si>
    <t>Kirstie</t>
  </si>
  <si>
    <t xml:space="preserve">Royal Oak                   </t>
  </si>
  <si>
    <t xml:space="preserve">Scott </t>
  </si>
  <si>
    <t>Cormac</t>
  </si>
  <si>
    <t>Freeport City</t>
  </si>
  <si>
    <t>Freeport</t>
  </si>
  <si>
    <t>The Bahamas</t>
  </si>
  <si>
    <t>Mark</t>
  </si>
  <si>
    <t xml:space="preserve">Holmdel                     </t>
  </si>
  <si>
    <t xml:space="preserve">Olive Branch                </t>
  </si>
  <si>
    <t xml:space="preserve">Grace </t>
  </si>
  <si>
    <t>York</t>
  </si>
  <si>
    <t>lamia</t>
  </si>
  <si>
    <t xml:space="preserve">Little Compton              </t>
  </si>
  <si>
    <t xml:space="preserve">Pia </t>
  </si>
  <si>
    <t>Sola</t>
  </si>
  <si>
    <t xml:space="preserve">Brookline                   </t>
  </si>
  <si>
    <t xml:space="preserve">Libertyville                </t>
  </si>
  <si>
    <t>Simone</t>
  </si>
  <si>
    <t>Kanata</t>
  </si>
  <si>
    <t>Brian</t>
  </si>
  <si>
    <t xml:space="preserve">College Park                </t>
  </si>
  <si>
    <t>Annelies</t>
  </si>
  <si>
    <t>Ile-Perrot</t>
  </si>
  <si>
    <t>Sara</t>
  </si>
  <si>
    <t>Charis</t>
  </si>
  <si>
    <t xml:space="preserve">Los Angeles                 </t>
  </si>
  <si>
    <t>Charmain</t>
  </si>
  <si>
    <t xml:space="preserve">Cartersburg                 </t>
  </si>
  <si>
    <t>IN</t>
  </si>
  <si>
    <t>Monica</t>
  </si>
  <si>
    <t xml:space="preserve">Villanova                   </t>
  </si>
  <si>
    <t>Mandy</t>
  </si>
  <si>
    <t xml:space="preserve">Hono                        </t>
  </si>
  <si>
    <t xml:space="preserve">Pensacola                   </t>
  </si>
  <si>
    <t>Lesley</t>
  </si>
  <si>
    <t>Kristyn</t>
  </si>
  <si>
    <t xml:space="preserve">Kearns                      </t>
  </si>
  <si>
    <t>Brulon</t>
  </si>
  <si>
    <t>Pays de la Loire</t>
  </si>
  <si>
    <t>Berikon</t>
  </si>
  <si>
    <t>Aargau</t>
  </si>
  <si>
    <t>Ehingen an der Donau</t>
  </si>
  <si>
    <t>Niamh</t>
  </si>
  <si>
    <t>Benoni</t>
  </si>
  <si>
    <t>Jag</t>
  </si>
  <si>
    <t>Saint-Cergues</t>
  </si>
  <si>
    <t>Gerald</t>
  </si>
  <si>
    <t xml:space="preserve">Mahopac                     </t>
  </si>
  <si>
    <t>amy</t>
  </si>
  <si>
    <t>Darrah</t>
  </si>
  <si>
    <t>Ashley</t>
  </si>
  <si>
    <t xml:space="preserve">Rancho Cordova              </t>
  </si>
  <si>
    <t>Marian</t>
  </si>
  <si>
    <t>Durban</t>
  </si>
  <si>
    <t>KwaZulu-Natal</t>
  </si>
  <si>
    <t>Maki</t>
  </si>
  <si>
    <t xml:space="preserve">Montgomery                  </t>
  </si>
  <si>
    <t>GAIA</t>
  </si>
  <si>
    <t>Soro</t>
  </si>
  <si>
    <t>Vestsjalland</t>
  </si>
  <si>
    <t>Yoko</t>
  </si>
  <si>
    <t xml:space="preserve">Andover                     </t>
  </si>
  <si>
    <t>Luc1nda</t>
  </si>
  <si>
    <t>Orsi</t>
  </si>
  <si>
    <t xml:space="preserve">Rayford                     </t>
  </si>
  <si>
    <t xml:space="preserve">Coppell                     </t>
  </si>
  <si>
    <t>Wollongong</t>
  </si>
  <si>
    <t>Campbell</t>
  </si>
  <si>
    <t>Mushrif</t>
  </si>
  <si>
    <t>Kuwait</t>
  </si>
  <si>
    <t>Angel Marie</t>
  </si>
  <si>
    <t xml:space="preserve">Fresno                      </t>
  </si>
  <si>
    <t xml:space="preserve">Lisa </t>
  </si>
  <si>
    <t>Borja</t>
  </si>
  <si>
    <t>Bohol</t>
  </si>
  <si>
    <t>Philippines</t>
  </si>
  <si>
    <t>Fernando</t>
  </si>
  <si>
    <t>Grosseto</t>
  </si>
  <si>
    <t>Tatjana and Martin</t>
  </si>
  <si>
    <t>Birmingham</t>
  </si>
  <si>
    <t>Georgina</t>
  </si>
  <si>
    <t xml:space="preserve">Portland                    </t>
  </si>
  <si>
    <t>Michel</t>
  </si>
  <si>
    <t>Lipari</t>
  </si>
  <si>
    <t>Sicilia</t>
  </si>
  <si>
    <t>natalie</t>
  </si>
  <si>
    <t xml:space="preserve">Alexandria                  </t>
  </si>
  <si>
    <t>Kathrin</t>
  </si>
  <si>
    <t>Abu Dhabi</t>
  </si>
  <si>
    <t>Abu Zaby</t>
  </si>
  <si>
    <t>Simcoe</t>
  </si>
  <si>
    <t>Joachim</t>
  </si>
  <si>
    <t>Fortaleza</t>
  </si>
  <si>
    <t>Ceara</t>
  </si>
  <si>
    <t xml:space="preserve">San Antonio                 </t>
  </si>
  <si>
    <t>Ruby</t>
  </si>
  <si>
    <t xml:space="preserve">Bedford Corners             </t>
  </si>
  <si>
    <t xml:space="preserve">Cara </t>
  </si>
  <si>
    <t xml:space="preserve">Humble                      </t>
  </si>
  <si>
    <t>Dana</t>
  </si>
  <si>
    <t>Thurles</t>
  </si>
  <si>
    <t>Aline</t>
  </si>
  <si>
    <t xml:space="preserve">Davis                       </t>
  </si>
  <si>
    <t>Chad</t>
  </si>
  <si>
    <t xml:space="preserve">West Orange                 </t>
  </si>
  <si>
    <t>BURCAK</t>
  </si>
  <si>
    <t>Dubai</t>
  </si>
  <si>
    <t>Waiau Pa</t>
  </si>
  <si>
    <t>Hanna Agla</t>
  </si>
  <si>
    <t>Donauworth</t>
  </si>
  <si>
    <t>AR</t>
  </si>
  <si>
    <t>Nerang</t>
  </si>
  <si>
    <t xml:space="preserve">Fairbanks                   </t>
  </si>
  <si>
    <t>jure</t>
  </si>
  <si>
    <t>Bishop Auckland</t>
  </si>
  <si>
    <t>Roger</t>
  </si>
  <si>
    <t>Urlingford</t>
  </si>
  <si>
    <t>Kilkenny</t>
  </si>
  <si>
    <t xml:space="preserve">Downey                      </t>
  </si>
  <si>
    <t>Ignacio</t>
  </si>
  <si>
    <t xml:space="preserve">Engleside                   </t>
  </si>
  <si>
    <t>Janine</t>
  </si>
  <si>
    <t xml:space="preserve">Corbin City                 </t>
  </si>
  <si>
    <t>Sherri</t>
  </si>
  <si>
    <t>Freienbach</t>
  </si>
  <si>
    <t>Schwyz</t>
  </si>
  <si>
    <t xml:space="preserve">Shona </t>
  </si>
  <si>
    <t>Mornington</t>
  </si>
  <si>
    <t>Stanford</t>
  </si>
  <si>
    <t xml:space="preserve">Howell                      </t>
  </si>
  <si>
    <t xml:space="preserve">Jamestown                   </t>
  </si>
  <si>
    <t>malin</t>
  </si>
  <si>
    <t>Atlanta</t>
  </si>
  <si>
    <t>Katie</t>
  </si>
  <si>
    <t>Gava</t>
  </si>
  <si>
    <t xml:space="preserve">Atascadero                  </t>
  </si>
  <si>
    <t>New Malden</t>
  </si>
  <si>
    <t>Jodi</t>
  </si>
  <si>
    <t>Sutton Valence</t>
  </si>
  <si>
    <t>Shailesh</t>
  </si>
  <si>
    <t>Joppa</t>
  </si>
  <si>
    <t>Conrad</t>
  </si>
  <si>
    <t>Keri</t>
  </si>
  <si>
    <t xml:space="preserve">Issaquah                    </t>
  </si>
  <si>
    <t>Kelsi</t>
  </si>
  <si>
    <t>Utrecht</t>
  </si>
  <si>
    <t>Santry</t>
  </si>
  <si>
    <t>sandra</t>
  </si>
  <si>
    <t xml:space="preserve">Burr Oak                    </t>
  </si>
  <si>
    <t xml:space="preserve">Shorewood                   </t>
  </si>
  <si>
    <t>Melissa</t>
  </si>
  <si>
    <t xml:space="preserve">Chester                     </t>
  </si>
  <si>
    <t>Julianne</t>
  </si>
  <si>
    <t>Navan</t>
  </si>
  <si>
    <t>Family in</t>
  </si>
  <si>
    <t>Bev</t>
  </si>
  <si>
    <t xml:space="preserve">San Ramon                   </t>
  </si>
  <si>
    <t>Nita</t>
  </si>
  <si>
    <t>Sutton</t>
  </si>
  <si>
    <t>Nina</t>
  </si>
  <si>
    <t xml:space="preserve">North Brunswick             </t>
  </si>
  <si>
    <t>Abdul-L</t>
  </si>
  <si>
    <t>heidi</t>
  </si>
  <si>
    <t xml:space="preserve">Saint Paul                  </t>
  </si>
  <si>
    <t>Nichol Jane</t>
  </si>
  <si>
    <t xml:space="preserve">Midland Park                </t>
  </si>
  <si>
    <t>jiyoung</t>
  </si>
  <si>
    <t>Michaela</t>
  </si>
  <si>
    <t>Mafra</t>
  </si>
  <si>
    <t>Santa Catarina</t>
  </si>
  <si>
    <t>isabela</t>
  </si>
  <si>
    <t xml:space="preserve">Princeton                   </t>
  </si>
  <si>
    <t>Greg</t>
  </si>
  <si>
    <t>Kirsten</t>
  </si>
  <si>
    <t>TG</t>
  </si>
  <si>
    <t>Zagore</t>
  </si>
  <si>
    <t>Stara Zagora</t>
  </si>
  <si>
    <t>Bulgaria</t>
  </si>
  <si>
    <t>Christy</t>
  </si>
  <si>
    <t>Setagaya</t>
  </si>
  <si>
    <t>Tokyo</t>
  </si>
  <si>
    <t>Japan</t>
  </si>
  <si>
    <t>brian</t>
  </si>
  <si>
    <t>Hagen</t>
  </si>
  <si>
    <t>Lorraine</t>
  </si>
  <si>
    <t>don</t>
  </si>
  <si>
    <t>Cagliari</t>
  </si>
  <si>
    <t>Sardinia</t>
  </si>
  <si>
    <t>Brighton</t>
  </si>
  <si>
    <t>Erika</t>
  </si>
  <si>
    <t>Redruth</t>
  </si>
  <si>
    <t>melanie</t>
  </si>
  <si>
    <t>Santa Barbaraa</t>
  </si>
  <si>
    <t>Heredia</t>
  </si>
  <si>
    <t>Costa Rica</t>
  </si>
  <si>
    <t xml:space="preserve">Miami Beach                 </t>
  </si>
  <si>
    <t>Jeff</t>
  </si>
  <si>
    <t xml:space="preserve">Richmond                    </t>
  </si>
  <si>
    <t>Pavel</t>
  </si>
  <si>
    <t>Maie</t>
  </si>
  <si>
    <t xml:space="preserve">Queen Creek                 </t>
  </si>
  <si>
    <t>Stavenger</t>
  </si>
  <si>
    <t>Bertrand</t>
  </si>
  <si>
    <t xml:space="preserve">North Caldwell              </t>
  </si>
  <si>
    <t>burt</t>
  </si>
  <si>
    <t>Dania</t>
  </si>
  <si>
    <t>Stocksund</t>
  </si>
  <si>
    <t>Elisabeth</t>
  </si>
  <si>
    <t xml:space="preserve">Wilmington                  </t>
  </si>
  <si>
    <t>Tracey</t>
  </si>
  <si>
    <t>Harold's Cross</t>
  </si>
  <si>
    <t xml:space="preserve">Fairfield                   </t>
  </si>
  <si>
    <t>Terry</t>
  </si>
  <si>
    <t>Julia</t>
  </si>
  <si>
    <t>Ede</t>
  </si>
  <si>
    <t>Gelderland</t>
  </si>
  <si>
    <t xml:space="preserve">Old Greenwich               </t>
  </si>
  <si>
    <t>Alexandria</t>
  </si>
  <si>
    <t xml:space="preserve">Lebanon                     </t>
  </si>
  <si>
    <t>alison</t>
  </si>
  <si>
    <t xml:space="preserve">Mid City West               </t>
  </si>
  <si>
    <t>scott</t>
  </si>
  <si>
    <t xml:space="preserve">Coconut Grove               </t>
  </si>
  <si>
    <t>Riche Lou</t>
  </si>
  <si>
    <t xml:space="preserve">Newton                      </t>
  </si>
  <si>
    <t>cath</t>
  </si>
  <si>
    <t xml:space="preserve">Warwick                     </t>
  </si>
  <si>
    <t>Harriet</t>
  </si>
  <si>
    <t xml:space="preserve">Fort Oglethorpe             </t>
  </si>
  <si>
    <t>Santo Domingo City</t>
  </si>
  <si>
    <t>Distrito Nacional</t>
  </si>
  <si>
    <t>Dominican Republic</t>
  </si>
  <si>
    <t>Randy</t>
  </si>
  <si>
    <t>Wigan</t>
  </si>
  <si>
    <t>The Grange</t>
  </si>
  <si>
    <t>Patrick</t>
  </si>
  <si>
    <t xml:space="preserve">Birmingham                  </t>
  </si>
  <si>
    <t xml:space="preserve">Product3 </t>
  </si>
  <si>
    <t xml:space="preserve">Shreveport                  </t>
  </si>
  <si>
    <t>LA</t>
  </si>
  <si>
    <t>Abbey Town</t>
  </si>
  <si>
    <t>Ashlee</t>
  </si>
  <si>
    <t>Miye</t>
  </si>
  <si>
    <t xml:space="preserve">Downingtown                 </t>
  </si>
  <si>
    <t>Aideen and Jonathan</t>
  </si>
  <si>
    <t>Kecskemet</t>
  </si>
  <si>
    <t>Bacs-Kiskun</t>
  </si>
  <si>
    <t>Cathy</t>
  </si>
  <si>
    <t>christy</t>
  </si>
  <si>
    <t xml:space="preserve">Germantown                  </t>
  </si>
  <si>
    <t xml:space="preserve">Floyds Knobs                </t>
  </si>
  <si>
    <t xml:space="preserve">Winchester                  </t>
  </si>
  <si>
    <t>Stephen</t>
  </si>
  <si>
    <t>esther</t>
  </si>
  <si>
    <t>Huddersfield</t>
  </si>
  <si>
    <t>Debora</t>
  </si>
  <si>
    <t xml:space="preserve">Lakeside                    </t>
  </si>
  <si>
    <t>Bea</t>
  </si>
  <si>
    <t>Anastasia</t>
  </si>
  <si>
    <t xml:space="preserve">NYC                         </t>
  </si>
  <si>
    <t>Birkdale</t>
  </si>
  <si>
    <t>Norrkoping</t>
  </si>
  <si>
    <t>Ostergotland</t>
  </si>
  <si>
    <t>Attie</t>
  </si>
  <si>
    <t xml:space="preserve">Cypress                     </t>
  </si>
  <si>
    <t>Madhu</t>
  </si>
  <si>
    <t>Vishpala</t>
  </si>
  <si>
    <t xml:space="preserve">Margate                     </t>
  </si>
  <si>
    <t>Rhonda</t>
  </si>
  <si>
    <t>Jeannette</t>
  </si>
  <si>
    <t>Caroline and Jonathan</t>
  </si>
  <si>
    <t>Chichester</t>
  </si>
  <si>
    <t xml:space="preserve">Kevin </t>
  </si>
  <si>
    <t>Carouge</t>
  </si>
  <si>
    <t>Suchdol</t>
  </si>
  <si>
    <t>Prague</t>
  </si>
  <si>
    <t>Katerina</t>
  </si>
  <si>
    <t>Firenze</t>
  </si>
  <si>
    <t>Tomasz</t>
  </si>
  <si>
    <t>Klampenborg</t>
  </si>
  <si>
    <t xml:space="preserve">Britlyn </t>
  </si>
  <si>
    <t xml:space="preserve">Norwalk                     </t>
  </si>
  <si>
    <t>Miriane</t>
  </si>
  <si>
    <t>andrea</t>
  </si>
  <si>
    <t xml:space="preserve">Oostburg                    </t>
  </si>
  <si>
    <t xml:space="preserve">Chadds Ford                 </t>
  </si>
  <si>
    <t>Beatrice</t>
  </si>
  <si>
    <t>DE</t>
  </si>
  <si>
    <t>Helen</t>
  </si>
  <si>
    <t xml:space="preserve">Mechanics Grove             </t>
  </si>
  <si>
    <t xml:space="preserve">Chelmsford                  </t>
  </si>
  <si>
    <t>Costanza</t>
  </si>
  <si>
    <t>Saggart</t>
  </si>
  <si>
    <t xml:space="preserve">Heloise </t>
  </si>
  <si>
    <t>nicole</t>
  </si>
  <si>
    <t>Zumikon</t>
  </si>
  <si>
    <t>Rosemary</t>
  </si>
  <si>
    <t xml:space="preserve">Jacksonville                </t>
  </si>
  <si>
    <t xml:space="preserve">Novy </t>
  </si>
  <si>
    <t>Sean</t>
  </si>
  <si>
    <t>Wantagh</t>
  </si>
  <si>
    <t xml:space="preserve">Ely                         </t>
  </si>
  <si>
    <t>Tricia</t>
  </si>
  <si>
    <t>Castricum</t>
  </si>
  <si>
    <t>Tamara</t>
  </si>
  <si>
    <t>Klosterneuburg</t>
  </si>
  <si>
    <t>KeithMichelle</t>
  </si>
  <si>
    <t>Daria</t>
  </si>
  <si>
    <t>George Town</t>
  </si>
  <si>
    <t>Cayman Isls</t>
  </si>
  <si>
    <t>Henrietta</t>
  </si>
  <si>
    <t xml:space="preserve">Ailsa </t>
  </si>
  <si>
    <t xml:space="preserve">Lindenhurst                 </t>
  </si>
  <si>
    <t>Taicheng</t>
  </si>
  <si>
    <t>Guangdong</t>
  </si>
  <si>
    <t>China</t>
  </si>
  <si>
    <t>janet</t>
  </si>
  <si>
    <t xml:space="preserve">Hon                         </t>
  </si>
  <si>
    <t>Olga</t>
  </si>
  <si>
    <t>Strasbourg</t>
  </si>
  <si>
    <t>Alsace</t>
  </si>
  <si>
    <t>Plan-les-Ouattes</t>
  </si>
  <si>
    <t>Beykoz</t>
  </si>
  <si>
    <t>Parth</t>
  </si>
  <si>
    <t>Oegstgeest</t>
  </si>
  <si>
    <t>Eman</t>
  </si>
  <si>
    <t>Penclawdd</t>
  </si>
  <si>
    <t xml:space="preserve">Baytown                     </t>
  </si>
  <si>
    <t>Yana</t>
  </si>
  <si>
    <t>elisabeth</t>
  </si>
  <si>
    <t xml:space="preserve">Gonzaga Univ                </t>
  </si>
  <si>
    <t xml:space="preserve">Trumansburg                 </t>
  </si>
  <si>
    <t>Jyoti</t>
  </si>
  <si>
    <t>Tunbridge Wells</t>
  </si>
  <si>
    <t>michelle</t>
  </si>
  <si>
    <t>Arklow</t>
  </si>
  <si>
    <t>Maria</t>
  </si>
  <si>
    <t xml:space="preserve">Boyceville                  </t>
  </si>
  <si>
    <t>Gustavo</t>
  </si>
  <si>
    <t>Voluntari</t>
  </si>
  <si>
    <t>Bucuresti</t>
  </si>
  <si>
    <t>Romania</t>
  </si>
  <si>
    <t>Liann</t>
  </si>
  <si>
    <t>Tejal</t>
  </si>
  <si>
    <t xml:space="preserve">San Anselmo                 </t>
  </si>
  <si>
    <t>Frank and Christelle</t>
  </si>
  <si>
    <t xml:space="preserve">Valley Center               </t>
  </si>
  <si>
    <t>Laleh</t>
  </si>
  <si>
    <t>Aasgaardstrand</t>
  </si>
  <si>
    <t>Hans-Joerg</t>
  </si>
  <si>
    <t>Belfast</t>
  </si>
  <si>
    <t>Perth City</t>
  </si>
  <si>
    <t>Tara</t>
  </si>
  <si>
    <t>Killiney</t>
  </si>
  <si>
    <t>Steven</t>
  </si>
  <si>
    <t>Liza</t>
  </si>
  <si>
    <t xml:space="preserve">Dammeron Valley             </t>
  </si>
  <si>
    <t>Ryan</t>
  </si>
  <si>
    <t xml:space="preserve">Simpsonville                </t>
  </si>
  <si>
    <t xml:space="preserve">Southlake                   </t>
  </si>
  <si>
    <t>leanne</t>
  </si>
  <si>
    <t xml:space="preserve">Clyde Hill                  </t>
  </si>
  <si>
    <t>Shannon</t>
  </si>
  <si>
    <t xml:space="preserve">Buffalo Grove               </t>
  </si>
  <si>
    <t>Larry</t>
  </si>
  <si>
    <t>Naarden</t>
  </si>
  <si>
    <t>Anja Langer</t>
  </si>
  <si>
    <t>Sandymount</t>
  </si>
  <si>
    <t>Alexia</t>
  </si>
  <si>
    <t>Blackrock</t>
  </si>
  <si>
    <t xml:space="preserve">Ellen Walton </t>
  </si>
  <si>
    <t>Tary</t>
  </si>
  <si>
    <t>Joelle</t>
  </si>
  <si>
    <t xml:space="preserve">Rowayton                    </t>
  </si>
  <si>
    <t>Bermuda</t>
  </si>
  <si>
    <t>Fatisha</t>
  </si>
  <si>
    <t>Karena</t>
  </si>
  <si>
    <t>christina</t>
  </si>
  <si>
    <t>Chepel</t>
  </si>
  <si>
    <t>Budapest</t>
  </si>
  <si>
    <t>Olympe</t>
  </si>
  <si>
    <t>Lidingo</t>
  </si>
  <si>
    <t>Jerome</t>
  </si>
  <si>
    <t>Ginger</t>
  </si>
  <si>
    <t>King City</t>
  </si>
  <si>
    <t xml:space="preserve">Hollywood                   </t>
  </si>
  <si>
    <t xml:space="preserve">Saint Charles               </t>
  </si>
  <si>
    <t xml:space="preserve">Poughkeepsie                </t>
  </si>
  <si>
    <t>Sandrine</t>
  </si>
  <si>
    <t xml:space="preserve">Walnut Creek                </t>
  </si>
  <si>
    <t>Kellie</t>
  </si>
  <si>
    <t>Nola</t>
  </si>
  <si>
    <t>Anke</t>
  </si>
  <si>
    <t>Avalon</t>
  </si>
  <si>
    <t>Malahat</t>
  </si>
  <si>
    <t>Elena</t>
  </si>
  <si>
    <t>Madison</t>
  </si>
  <si>
    <t>Torbay</t>
  </si>
  <si>
    <t>Surat</t>
  </si>
  <si>
    <t xml:space="preserve">Bridgewater                 </t>
  </si>
  <si>
    <t>Ronja</t>
  </si>
  <si>
    <t>Christophe</t>
  </si>
  <si>
    <t xml:space="preserve">Temecula                    </t>
  </si>
  <si>
    <t xml:space="preserve">Oak Park                    </t>
  </si>
  <si>
    <t>Kuala Lumpur</t>
  </si>
  <si>
    <t>Malaysia</t>
  </si>
  <si>
    <t>Jupiterlina Elika</t>
  </si>
  <si>
    <t>Rome</t>
  </si>
  <si>
    <t>Lazio</t>
  </si>
  <si>
    <t>Lyndoch</t>
  </si>
  <si>
    <t>South Australia</t>
  </si>
  <si>
    <t>Kjobenhavn</t>
  </si>
  <si>
    <t>Staden Kobenhavn</t>
  </si>
  <si>
    <t>breon</t>
  </si>
  <si>
    <t>Leighton Buzzard</t>
  </si>
  <si>
    <t>nihan</t>
  </si>
  <si>
    <t xml:space="preserve">Roanoke                     </t>
  </si>
  <si>
    <t>Kirriemuir</t>
  </si>
  <si>
    <t>corina</t>
  </si>
  <si>
    <t>Neustift am Walde</t>
  </si>
  <si>
    <t>manon</t>
  </si>
  <si>
    <t xml:space="preserve">Cos Cob                     </t>
  </si>
  <si>
    <t>Heather</t>
  </si>
  <si>
    <t>Baluan</t>
  </si>
  <si>
    <t>General Santos</t>
  </si>
  <si>
    <t>Neuchatel</t>
  </si>
  <si>
    <t>DD</t>
  </si>
  <si>
    <t>sorcha</t>
  </si>
  <si>
    <t>Porto Alegre</t>
  </si>
  <si>
    <t>Rio Grande do Sul</t>
  </si>
  <si>
    <t>Kenneth</t>
  </si>
  <si>
    <t>alan</t>
  </si>
  <si>
    <t xml:space="preserve">Norcross                    </t>
  </si>
  <si>
    <t>Audrey</t>
  </si>
  <si>
    <t>El Escorial</t>
  </si>
  <si>
    <t xml:space="preserve">Saeko </t>
  </si>
  <si>
    <t>Cartierville</t>
  </si>
  <si>
    <t>Renee</t>
  </si>
  <si>
    <t xml:space="preserve">Chaska                      </t>
  </si>
  <si>
    <t>Kidderminster</t>
  </si>
  <si>
    <t>Meredith</t>
  </si>
  <si>
    <t>Kloten</t>
  </si>
  <si>
    <t>Saint Catharines</t>
  </si>
  <si>
    <t>Charlotte</t>
  </si>
  <si>
    <t xml:space="preserve">Sterling                    </t>
  </si>
  <si>
    <t xml:space="preserve">Aloma                       </t>
  </si>
  <si>
    <t>Ruangrote</t>
  </si>
  <si>
    <t>Katrine</t>
  </si>
  <si>
    <t xml:space="preserve">North Tustin                </t>
  </si>
  <si>
    <t>jacqueline</t>
  </si>
  <si>
    <t>North Vancouver</t>
  </si>
  <si>
    <t>Olivia</t>
  </si>
  <si>
    <t xml:space="preserve">Wheaton                     </t>
  </si>
  <si>
    <t>elaine</t>
  </si>
  <si>
    <t>Phuket</t>
  </si>
  <si>
    <t xml:space="preserve">Hilde </t>
  </si>
  <si>
    <t xml:space="preserve">Princeville                 </t>
  </si>
  <si>
    <t>Pietermaritzburg</t>
  </si>
  <si>
    <t>Hilde</t>
  </si>
  <si>
    <t>pamela</t>
  </si>
  <si>
    <t>Ayacucho</t>
  </si>
  <si>
    <t>Buenos Aires</t>
  </si>
  <si>
    <t>Argentina</t>
  </si>
  <si>
    <t>Howard</t>
  </si>
  <si>
    <t>Worcester</t>
  </si>
  <si>
    <t>L</t>
  </si>
  <si>
    <t>Alcona</t>
  </si>
  <si>
    <t>Malinda</t>
  </si>
  <si>
    <t>Shane</t>
  </si>
  <si>
    <t>Corinne</t>
  </si>
  <si>
    <t xml:space="preserve">Anthem                      </t>
  </si>
  <si>
    <t>erin</t>
  </si>
  <si>
    <t xml:space="preserve">Zaneta </t>
  </si>
  <si>
    <t xml:space="preserve">Rochester                   </t>
  </si>
  <si>
    <t>Pilar</t>
  </si>
  <si>
    <t>Florence</t>
  </si>
  <si>
    <t>kathleen kane</t>
  </si>
  <si>
    <t xml:space="preserve">Jamaica Plain               </t>
  </si>
  <si>
    <t>Phillip</t>
  </si>
  <si>
    <t>Anita</t>
  </si>
  <si>
    <t>WalcProduct3ee</t>
  </si>
  <si>
    <t>Tyrol</t>
  </si>
  <si>
    <t xml:space="preserve">Sebastopol                  </t>
  </si>
  <si>
    <t>ann</t>
  </si>
  <si>
    <t xml:space="preserve">Boca Raton                  </t>
  </si>
  <si>
    <t>Lindsey</t>
  </si>
  <si>
    <t xml:space="preserve">Kennett Square              </t>
  </si>
  <si>
    <t>Maureen</t>
  </si>
  <si>
    <t xml:space="preserve">Statesville                 </t>
  </si>
  <si>
    <t>marie-louise</t>
  </si>
  <si>
    <t xml:space="preserve">Sitka                       </t>
  </si>
  <si>
    <t xml:space="preserve">Rogers                      </t>
  </si>
  <si>
    <t>Mareike</t>
  </si>
  <si>
    <t xml:space="preserve">Cumming                     </t>
  </si>
  <si>
    <t>olla</t>
  </si>
  <si>
    <t xml:space="preserve">Westminster                 </t>
  </si>
  <si>
    <t xml:space="preserve">Kapaa                       </t>
  </si>
  <si>
    <t>carol</t>
  </si>
  <si>
    <t xml:space="preserve">Ann Arbor                   </t>
  </si>
  <si>
    <t>Umea</t>
  </si>
  <si>
    <t>Vasterbotten</t>
  </si>
  <si>
    <t>Maria Macarena</t>
  </si>
  <si>
    <t xml:space="preserve">Billings                    </t>
  </si>
  <si>
    <t xml:space="preserve">Manteno                     </t>
  </si>
  <si>
    <t>Lesa</t>
  </si>
  <si>
    <t>Vespasiano</t>
  </si>
  <si>
    <t>Minas Gerais</t>
  </si>
  <si>
    <t xml:space="preserve">Croton On Hudson            </t>
  </si>
  <si>
    <t>Fatima</t>
  </si>
  <si>
    <t>beatrice</t>
  </si>
  <si>
    <t>Churra</t>
  </si>
  <si>
    <t>Geraldine</t>
  </si>
  <si>
    <t>Wendy</t>
  </si>
  <si>
    <t xml:space="preserve">Lake Mahopac                </t>
  </si>
  <si>
    <t>Jane</t>
  </si>
  <si>
    <t>Biot</t>
  </si>
  <si>
    <t xml:space="preserve">Jodie </t>
  </si>
  <si>
    <t>Great Falls</t>
  </si>
  <si>
    <t>Virginia</t>
  </si>
  <si>
    <t>Gerardo</t>
  </si>
  <si>
    <t>Tulin</t>
  </si>
  <si>
    <t xml:space="preserve">Cranberry Twp               </t>
  </si>
  <si>
    <t>prof</t>
  </si>
  <si>
    <t xml:space="preserve">Gladwyne                    </t>
  </si>
  <si>
    <t>manuela</t>
  </si>
  <si>
    <t>Massagno</t>
  </si>
  <si>
    <t>Tori</t>
  </si>
  <si>
    <t xml:space="preserve">Elizabeth </t>
  </si>
  <si>
    <t xml:space="preserve">Bluffton                    </t>
  </si>
  <si>
    <t>Paula</t>
  </si>
  <si>
    <t xml:space="preserve">Larchmont                   </t>
  </si>
  <si>
    <t>Miss</t>
  </si>
  <si>
    <t>Lolarae</t>
  </si>
  <si>
    <t>smith</t>
  </si>
  <si>
    <t>Lahti</t>
  </si>
  <si>
    <t>Etela-Suomen Laani</t>
  </si>
  <si>
    <t>Dun Laoghaire</t>
  </si>
  <si>
    <t>Gabriella</t>
  </si>
  <si>
    <t>verena</t>
  </si>
  <si>
    <t>Tom</t>
  </si>
  <si>
    <t xml:space="preserve">Killeen                     </t>
  </si>
  <si>
    <t>Lesleigh</t>
  </si>
  <si>
    <t>Baden</t>
  </si>
  <si>
    <t xml:space="preserve">St Augustine                </t>
  </si>
  <si>
    <t xml:space="preserve">Nicola </t>
  </si>
  <si>
    <t>Sneem</t>
  </si>
  <si>
    <t xml:space="preserve">Huntersville                </t>
  </si>
  <si>
    <t>Patricia</t>
  </si>
  <si>
    <t xml:space="preserve">Allen                       </t>
  </si>
  <si>
    <t>Oscar</t>
  </si>
  <si>
    <t>Chamonix-Mont-Blanc</t>
  </si>
  <si>
    <t>Jo</t>
  </si>
  <si>
    <t xml:space="preserve">Pembroke Pines              </t>
  </si>
  <si>
    <t>Griffith</t>
  </si>
  <si>
    <t>Alicia</t>
  </si>
  <si>
    <t xml:space="preserve">Lincoln                     </t>
  </si>
  <si>
    <t>NE</t>
  </si>
  <si>
    <t>Anjan</t>
  </si>
  <si>
    <t xml:space="preserve">ron </t>
  </si>
  <si>
    <t>Tsaritsyno</t>
  </si>
  <si>
    <t>Moscow City</t>
  </si>
  <si>
    <t>Russia</t>
  </si>
  <si>
    <t xml:space="preserve">MT Pleasant                 </t>
  </si>
  <si>
    <t>Glenn</t>
  </si>
  <si>
    <t>Ornex</t>
  </si>
  <si>
    <t>Elyse</t>
  </si>
  <si>
    <t>Bandon</t>
  </si>
  <si>
    <t>Cobham</t>
  </si>
  <si>
    <t>Canterbury</t>
  </si>
  <si>
    <t>minjeong</t>
  </si>
  <si>
    <t>Bern</t>
  </si>
  <si>
    <t>R</t>
  </si>
  <si>
    <t>Danderyd</t>
  </si>
  <si>
    <t>anissa</t>
  </si>
  <si>
    <t>Slough</t>
  </si>
  <si>
    <t>Nathalie</t>
  </si>
  <si>
    <t xml:space="preserve">Haymarket                   </t>
  </si>
  <si>
    <t>Michele</t>
  </si>
  <si>
    <t xml:space="preserve">Buffalo                     </t>
  </si>
  <si>
    <t>Helena</t>
  </si>
  <si>
    <t xml:space="preserve">Fremont                     </t>
  </si>
  <si>
    <t>Jan</t>
  </si>
  <si>
    <t>DOREEN</t>
  </si>
  <si>
    <t>Cleo</t>
  </si>
  <si>
    <t xml:space="preserve">Pacific Palisades           </t>
  </si>
  <si>
    <t>Jackie</t>
  </si>
  <si>
    <t>Caterina</t>
  </si>
  <si>
    <t>Jean</t>
  </si>
  <si>
    <t>Aniko</t>
  </si>
  <si>
    <t xml:space="preserve">Random Lake                 </t>
  </si>
  <si>
    <t xml:space="preserve">Corrales                    </t>
  </si>
  <si>
    <t>NM</t>
  </si>
  <si>
    <t>jason</t>
  </si>
  <si>
    <t xml:space="preserve">Altadena                    </t>
  </si>
  <si>
    <t>Killarney</t>
  </si>
  <si>
    <t>New Providence</t>
  </si>
  <si>
    <t>Melinda</t>
  </si>
  <si>
    <t>VERBENA</t>
  </si>
  <si>
    <t>Basel</t>
  </si>
  <si>
    <t>Basel-Town</t>
  </si>
  <si>
    <t xml:space="preserve">Natalie </t>
  </si>
  <si>
    <t xml:space="preserve">Bryceville                  </t>
  </si>
  <si>
    <t>Adam</t>
  </si>
  <si>
    <t>Besancon</t>
  </si>
  <si>
    <t>Franche-Comte</t>
  </si>
  <si>
    <t>Anse Comeau</t>
  </si>
  <si>
    <t>Selene</t>
  </si>
  <si>
    <t>Black River</t>
  </si>
  <si>
    <t>Mauritius</t>
  </si>
  <si>
    <t>Berkeswell</t>
  </si>
  <si>
    <t>Jenevieve</t>
  </si>
  <si>
    <t>Guelph</t>
  </si>
  <si>
    <t>cari</t>
  </si>
  <si>
    <t xml:space="preserve">Dryden                      </t>
  </si>
  <si>
    <t>Ina</t>
  </si>
  <si>
    <t xml:space="preserve">Fayetteville                </t>
  </si>
  <si>
    <t>kemp</t>
  </si>
  <si>
    <t xml:space="preserve">Brentwood                   </t>
  </si>
  <si>
    <t>Chevonne</t>
  </si>
  <si>
    <t>Athina</t>
  </si>
  <si>
    <t>Attiki</t>
  </si>
  <si>
    <t>Greece</t>
  </si>
  <si>
    <t>christal</t>
  </si>
  <si>
    <t xml:space="preserve">Morrison                    </t>
  </si>
  <si>
    <t>Evelyn</t>
  </si>
  <si>
    <t>Grossbodungen</t>
  </si>
  <si>
    <t xml:space="preserve">lilia </t>
  </si>
  <si>
    <t xml:space="preserve">Kelly </t>
  </si>
  <si>
    <t>BALA</t>
  </si>
  <si>
    <t xml:space="preserve">Accokeek                    </t>
  </si>
  <si>
    <t xml:space="preserve">Hghlnds Ranch               </t>
  </si>
  <si>
    <t>giovanna</t>
  </si>
  <si>
    <t>Pruszkow</t>
  </si>
  <si>
    <t>Mazowieckie</t>
  </si>
  <si>
    <t>Zoe</t>
  </si>
  <si>
    <t>Coventry</t>
  </si>
  <si>
    <t>sandhya</t>
  </si>
  <si>
    <t>Whitney</t>
  </si>
  <si>
    <t xml:space="preserve">Falmouth                    </t>
  </si>
  <si>
    <t xml:space="preserve">Michele </t>
  </si>
  <si>
    <t>Hale</t>
  </si>
  <si>
    <t>Hawera</t>
  </si>
  <si>
    <t>Suejean</t>
  </si>
  <si>
    <t>Gingins</t>
  </si>
  <si>
    <t>George</t>
  </si>
  <si>
    <t>Kimberly</t>
  </si>
  <si>
    <t xml:space="preserve">Herndon                     </t>
  </si>
  <si>
    <t xml:space="preserve">Ithaca                      </t>
  </si>
  <si>
    <t>Mrs</t>
  </si>
  <si>
    <t xml:space="preserve">Sunnyvale                   </t>
  </si>
  <si>
    <t>Carmela</t>
  </si>
  <si>
    <t>Hannover</t>
  </si>
  <si>
    <t>Karen and Andrew</t>
  </si>
  <si>
    <t>Munchen</t>
  </si>
  <si>
    <t xml:space="preserve">Ridgefield                  </t>
  </si>
  <si>
    <t>Central Bohemia</t>
  </si>
  <si>
    <t>cheryl</t>
  </si>
  <si>
    <t xml:space="preserve">Beverly Hills               </t>
  </si>
  <si>
    <t>Jacqui</t>
  </si>
  <si>
    <t>samuel</t>
  </si>
  <si>
    <t xml:space="preserve">Saddle Brook                </t>
  </si>
  <si>
    <t xml:space="preserve">Chiefland                   </t>
  </si>
  <si>
    <t>philippa katherine</t>
  </si>
  <si>
    <t>Cabinteely</t>
  </si>
  <si>
    <t>Alva and Martin</t>
  </si>
  <si>
    <t xml:space="preserve">Great Falls                 </t>
  </si>
  <si>
    <t>Lilly</t>
  </si>
  <si>
    <t>Arc-et-Senans</t>
  </si>
  <si>
    <t xml:space="preserve">John </t>
  </si>
  <si>
    <t xml:space="preserve">Mary </t>
  </si>
  <si>
    <t>KERRY</t>
  </si>
  <si>
    <t>Nita and Trebor</t>
  </si>
  <si>
    <t xml:space="preserve">Washington Township         </t>
  </si>
  <si>
    <t xml:space="preserve">Rock Hill                   </t>
  </si>
  <si>
    <t>alix</t>
  </si>
  <si>
    <t>Alessandra</t>
  </si>
  <si>
    <t>Leicester</t>
  </si>
  <si>
    <t>Tarja</t>
  </si>
  <si>
    <t>Villars</t>
  </si>
  <si>
    <t>Hurst</t>
  </si>
  <si>
    <t>Christine</t>
  </si>
  <si>
    <t>Antwerpen</t>
  </si>
  <si>
    <t>Kilcornan</t>
  </si>
  <si>
    <t>Blarney</t>
  </si>
  <si>
    <t>Balgach</t>
  </si>
  <si>
    <t>St Gallen</t>
  </si>
  <si>
    <t>Tabatha</t>
  </si>
  <si>
    <t>james</t>
  </si>
  <si>
    <t>lorna</t>
  </si>
  <si>
    <t xml:space="preserve">Castle Rock                 </t>
  </si>
  <si>
    <t>Dumbleton</t>
  </si>
  <si>
    <t xml:space="preserve">Fullerton                   </t>
  </si>
  <si>
    <t xml:space="preserve">Lexington                   </t>
  </si>
  <si>
    <t>danielle</t>
  </si>
  <si>
    <t>Ana</t>
  </si>
  <si>
    <t>Hong Kong</t>
  </si>
  <si>
    <t>nina</t>
  </si>
  <si>
    <t xml:space="preserve">Ooltewah                    </t>
  </si>
  <si>
    <t xml:space="preserve">Pasadena                    </t>
  </si>
  <si>
    <t xml:space="preserve">Edinburg                    </t>
  </si>
  <si>
    <t>Tanya</t>
  </si>
  <si>
    <t>Carcross</t>
  </si>
  <si>
    <t>Yukon Territory</t>
  </si>
  <si>
    <t>Hilversum</t>
  </si>
  <si>
    <t>Nacole</t>
  </si>
  <si>
    <t>Detlev</t>
  </si>
  <si>
    <t>Taby</t>
  </si>
  <si>
    <t>Hanne</t>
  </si>
  <si>
    <t xml:space="preserve">Sag Harbor                  </t>
  </si>
  <si>
    <t xml:space="preserve">Monica </t>
  </si>
  <si>
    <t xml:space="preserve">Weston                      </t>
  </si>
  <si>
    <t>ciara and mike</t>
  </si>
  <si>
    <t>Nanci</t>
  </si>
  <si>
    <t>Diane</t>
  </si>
  <si>
    <t>Djurgarden</t>
  </si>
  <si>
    <t>Ulrika</t>
  </si>
  <si>
    <t>Joern</t>
  </si>
  <si>
    <t xml:space="preserve">Ringgold                    </t>
  </si>
  <si>
    <t>matthew</t>
  </si>
  <si>
    <t>Sven</t>
  </si>
  <si>
    <t>Dawn</t>
  </si>
  <si>
    <t>Vaucluse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</si>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</sst>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$#,##0.00"/>
    <numFmt numFmtId="165" formatCode="m/d/yy\ h:mm\ AM/PM;@"/>
  </numFmts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2" name="SalesTable" displayName="SalesTable" ref="A1:J999" totalsRowShown="0">
  <autoFilter ref="A1:J999"/>
  <sortState ref="A2:J999">
    <sortCondition ref="A2:A999"/>
  </sortState>
  <tableColumns>
    <tableColumn id="1" name="Product"/>
    <tableColumn id="2" name="Price"/>
    <tableColumn id="3" name="Payment_Type"/>
    <tableColumn id="4" name="Name"/>
    <tableColumn id="5" name="City"/>
    <tableColumn id="6" name="State"/>
    <tableColumn id="7" name="Country"/>
    <tableColumn id="8" name="Transaction_date"/>
    <tableColumn id="9" name="Latitude"/>
    <tableColumn id="10" name="Longitude"/>
  </tableColumns>
  <tableStyleInfo name="TableStyleMedium6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J999"/>
  <sheetViews>
    <sheetView view="normal" workbookViewId="0">
      <selection pane="topLeft" activeCell="A1" sqref="A1"/>
    </sheetView>
  </sheetViews>
  <sheetFormatPr defaultRowHeight="15"/>
  <cols>
    <col min="1" max="1" width="11.41796875" bestFit="1" customWidth="1"/>
    <col min="2" max="2" width="8.84765625" bestFit="1" customWidth="1"/>
    <col min="3" max="3" width="17.5703125" bestFit="1" customWidth="1"/>
    <col min="4" max="4" width="21.5703125" bestFit="1" customWidth="1"/>
    <col min="5" max="5" width="31" bestFit="1" customWidth="1"/>
    <col min="6" max="6" width="26.41796875" bestFit="1" customWidth="1"/>
    <col min="7" max="7" width="20.84765625" bestFit="1" customWidth="1"/>
    <col min="8" max="8" width="19.84765625" bestFit="1" customWidth="1"/>
    <col min="9" max="9" width="13" bestFit="1" customWidth="1"/>
    <col min="10" max="10" width="14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2">
        <v>1200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>
        <v>39814.05972222222</v>
      </c>
      <c r="I2" t="str">
        <f ca="1">TEXT(TRUNC(40.91139), "0" &amp; CHAR(176) &amp; " ") &amp; TEXT(INT((ABS(40.91139)- INT(ABS(40.91139)))*60), "0' ") &amp; TEXT(((((ABS(40.91139)-INT(ABS(40.91139)))*60)- INT((ABS(40.91139) - INT(ABS(40.91139)))*60))*60), " 0''")</f>
        <v>40°c c54  41</v>
      </c>
      <c r="J2" t="str">
        <f ca="1">TEXT(TRUNC(-73.78278), "0" &amp; CHAR(176) &amp; " ") &amp; TEXT(INT((ABS(-73.78278)- INT(ABS(-73.78278)))*60), "0' ") &amp; TEXT(((((ABS(-73.78278)-INT(ABS(-73.78278)))*60)- INT((ABS(-73.78278) - INT(ABS(-73.78278)))*60))*60), " 0''")</f>
        <v>-73°c c46  58</v>
      </c>
    </row>
    <row r="3" spans="1:10">
      <c r="A3" t="s">
        <v>10</v>
      </c>
      <c r="B3" s="2">
        <v>1200</v>
      </c>
      <c r="C3" t="s">
        <v>11</v>
      </c>
      <c r="D3" t="s">
        <v>16</v>
      </c>
      <c r="E3" t="s">
        <v>17</v>
      </c>
      <c r="F3" t="s">
        <v>18</v>
      </c>
      <c r="G3" t="s">
        <v>19</v>
      </c>
      <c r="H3" s="3">
        <v>39814.07708333333</v>
      </c>
      <c r="I3" t="str">
        <f ca="1">TEXT(TRUNC(55.8166667), "0" &amp; CHAR(176) &amp; " ") &amp; TEXT(INT((ABS(55.8166667)- INT(ABS(55.8166667)))*60), "0' ") &amp; TEXT(((((ABS(55.8166667)-INT(ABS(55.8166667)))*60)- INT((ABS(55.8166667) - INT(ABS(55.8166667)))*60))*60), " 0''")</f>
        <v>55°c c49  0</v>
      </c>
      <c r="J3" t="str">
        <f ca="1">TEXT(TRUNC(12.4666667), "0" &amp; CHAR(176) &amp; " ") &amp; TEXT(INT((ABS(12.4666667)- INT(ABS(12.4666667)))*60), "0' ") &amp; TEXT(((((ABS(12.4666667)-INT(ABS(12.4666667)))*60)- INT((ABS(12.4666667) - INT(ABS(12.4666667)))*60))*60), " 0''")</f>
        <v>12°c c28  0</v>
      </c>
    </row>
    <row r="4" spans="1:10">
      <c r="A4" t="s">
        <v>10</v>
      </c>
      <c r="B4" s="2">
        <v>1200</v>
      </c>
      <c r="C4" t="s">
        <v>11</v>
      </c>
      <c r="D4" t="s">
        <v>20</v>
      </c>
      <c r="E4" t="s">
        <v>21</v>
      </c>
      <c r="F4" t="s">
        <v>22</v>
      </c>
      <c r="G4" t="s">
        <v>23</v>
      </c>
      <c r="H4" s="3">
        <v>39814.089583333334</v>
      </c>
      <c r="I4" t="str">
        <f ca="1">TEXT(TRUNC(51.05), "0" &amp; CHAR(176) &amp; " ") &amp; TEXT(INT((ABS(51.05)- INT(ABS(51.05)))*60), "0' ") &amp; TEXT(((((ABS(51.05)-INT(ABS(51.05)))*60)- INT((ABS(51.05) - INT(ABS(51.05)))*60))*60), " 0''")</f>
        <v>51°c c2  60</v>
      </c>
      <c r="J4" t="str">
        <f ca="1">TEXT(TRUNC(13.75), "0" &amp; CHAR(176) &amp; " ") &amp; TEXT(INT((ABS(13.75)- INT(ABS(13.75)))*60), "0' ") &amp; TEXT(((((ABS(13.75)-INT(ABS(13.75)))*60)- INT((ABS(13.75) - INT(ABS(13.75)))*60))*60), " 0''")</f>
        <v>13°c c45  0</v>
      </c>
    </row>
    <row r="5" spans="1:10">
      <c r="A5" t="s">
        <v>10</v>
      </c>
      <c r="B5" s="2">
        <v>1200</v>
      </c>
      <c r="C5" t="s">
        <v>24</v>
      </c>
      <c r="D5" t="s">
        <v>25</v>
      </c>
      <c r="E5" t="s">
        <v>26</v>
      </c>
      <c r="F5" t="s">
        <v>27</v>
      </c>
      <c r="G5" t="s">
        <v>15</v>
      </c>
      <c r="H5" s="3">
        <v>39814.1</v>
      </c>
      <c r="I5" t="str">
        <f ca="1">TEXT(TRUNC(29.61944), "0" &amp; CHAR(176) &amp; " ") &amp; TEXT(INT((ABS(29.61944)- INT(ABS(29.61944)))*60), "0' ") &amp; TEXT(((((ABS(29.61944)-INT(ABS(29.61944)))*60)- INT((ABS(29.61944) - INT(ABS(29.61944)))*60))*60), " 0''")</f>
        <v>29°c c37  10</v>
      </c>
      <c r="J5" t="str">
        <f ca="1">TEXT(TRUNC(-95.63472), "0" &amp; CHAR(176) &amp; " ") &amp; TEXT(INT((ABS(-95.63472)- INT(ABS(-95.63472)))*60), "0' ") &amp; TEXT(((((ABS(-95.63472)-INT(ABS(-95.63472)))*60)- INT((ABS(-95.63472) - INT(ABS(-95.63472)))*60))*60), " 0''")</f>
        <v>-95°c c38  5</v>
      </c>
    </row>
    <row r="6" spans="1:10">
      <c r="A6" t="s">
        <v>10</v>
      </c>
      <c r="B6" s="2">
        <v>1200</v>
      </c>
      <c r="C6" t="s">
        <v>11</v>
      </c>
      <c r="D6" t="s">
        <v>28</v>
      </c>
      <c r="E6" t="s">
        <v>29</v>
      </c>
      <c r="F6" t="s">
        <v>30</v>
      </c>
      <c r="G6" t="s">
        <v>31</v>
      </c>
      <c r="H6" s="3">
        <v>39814.160416666666</v>
      </c>
      <c r="I6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6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7" spans="1:10">
      <c r="A7" t="s">
        <v>10</v>
      </c>
      <c r="B7" s="2">
        <v>1200</v>
      </c>
      <c r="C7" t="s">
        <v>11</v>
      </c>
      <c r="D7" t="s">
        <v>36</v>
      </c>
      <c r="E7" t="s">
        <v>37</v>
      </c>
      <c r="F7" t="s">
        <v>38</v>
      </c>
      <c r="G7" t="s">
        <v>31</v>
      </c>
      <c r="H7" s="3">
        <v>39814.211111111108</v>
      </c>
      <c r="I7" t="str">
        <f ca="1">TEXT(TRUNC(53.1333333), "0" &amp; CHAR(176) &amp; " ") &amp; TEXT(INT((ABS(53.1333333)- INT(ABS(53.1333333)))*60), "0' ") &amp; TEXT(((((ABS(53.1333333)-INT(ABS(53.1333333)))*60)- INT((ABS(53.1333333) - INT(ABS(53.1333333)))*60))*60), " 0''")</f>
        <v>53°c c7  60</v>
      </c>
      <c r="J7" t="str">
        <f ca="1">TEXT(TRUNC(6.6333333), "0" &amp; CHAR(176) &amp; " ") &amp; TEXT(INT((ABS(6.6333333)- INT(ABS(6.6333333)))*60), "0' ") &amp; TEXT(((((ABS(6.6333333)-INT(ABS(6.6333333)))*60)- INT((ABS(6.6333333) - INT(ABS(6.6333333)))*60))*60), " 0''")</f>
        <v>6°c c37  60</v>
      </c>
    </row>
    <row r="8" spans="1:10">
      <c r="A8" t="s">
        <v>10</v>
      </c>
      <c r="B8" s="2">
        <v>1200</v>
      </c>
      <c r="C8" t="s">
        <v>11</v>
      </c>
      <c r="D8" t="s">
        <v>39</v>
      </c>
      <c r="E8" t="s">
        <v>40</v>
      </c>
      <c r="F8" t="s">
        <v>41</v>
      </c>
      <c r="G8" t="s">
        <v>42</v>
      </c>
      <c r="H8" s="3">
        <v>39814.270138888889</v>
      </c>
      <c r="I8" t="str">
        <f ca="1">TEXT(TRUNC(45.55), "0" &amp; CHAR(176) &amp; " ") &amp; TEXT(INT((ABS(45.55)- INT(ABS(45.55)))*60), "0' ") &amp; TEXT(((((ABS(45.55)-INT(ABS(45.55)))*60)- INT((ABS(45.55) - INT(ABS(45.55)))*60))*60), " 0''")</f>
        <v>45°c c32  60</v>
      </c>
      <c r="J8" t="str">
        <f ca="1">TEXT(TRUNC(11.55), "0" &amp; CHAR(176) &amp; " ") &amp; TEXT(INT((ABS(11.55)- INT(ABS(11.55)))*60), "0' ") &amp; TEXT(((((ABS(11.55)-INT(ABS(11.55)))*60)- INT((ABS(11.55) - INT(ABS(11.55)))*60))*60), " 0''")</f>
        <v>11°c c33  0</v>
      </c>
    </row>
    <row r="9" spans="1:10">
      <c r="A9" t="s">
        <v>10</v>
      </c>
      <c r="B9" s="2">
        <v>1200</v>
      </c>
      <c r="C9" t="s">
        <v>33</v>
      </c>
      <c r="D9" t="s">
        <v>43</v>
      </c>
      <c r="E9" t="s">
        <v>44</v>
      </c>
      <c r="F9" t="s">
        <v>45</v>
      </c>
      <c r="G9" t="s">
        <v>15</v>
      </c>
      <c r="H9" s="3">
        <v>39814.29791666667</v>
      </c>
      <c r="I9" t="str">
        <f ca="1">TEXT(TRUNC(26.70528), "0" &amp; CHAR(176) &amp; " ") &amp; TEXT(INT((ABS(26.70528)- INT(ABS(26.70528)))*60), "0' ") &amp; TEXT(((((ABS(26.70528)-INT(ABS(26.70528)))*60)- INT((ABS(26.70528) - INT(ABS(26.70528)))*60))*60), " 0''")</f>
        <v>26°c c42  19</v>
      </c>
      <c r="J9" t="str">
        <f ca="1">TEXT(TRUNC(-80.03667), "0" &amp; CHAR(176) &amp; " ") &amp; TEXT(INT((ABS(-80.03667)- INT(ABS(-80.03667)))*60), "0' ") &amp; TEXT(((((ABS(-80.03667)-INT(ABS(-80.03667)))*60)- INT((ABS(-80.03667) - INT(ABS(-80.03667)))*60))*60), " 0''")</f>
        <v>-80°c c2  12</v>
      </c>
    </row>
    <row r="10" spans="1:10">
      <c r="A10" t="s">
        <v>10</v>
      </c>
      <c r="B10" s="2">
        <v>1200</v>
      </c>
      <c r="C10" t="s">
        <v>11</v>
      </c>
      <c r="D10" t="s">
        <v>46</v>
      </c>
      <c r="E10" t="s">
        <v>47</v>
      </c>
      <c r="F10" t="s">
        <v>48</v>
      </c>
      <c r="G10" t="s">
        <v>49</v>
      </c>
      <c r="H10" s="3">
        <v>39814.339583333334</v>
      </c>
      <c r="I10" t="str">
        <f ca="1">TEXT(TRUNC(-37.8333333), "0" &amp; CHAR(176) &amp; " ") &amp; TEXT(INT((ABS(-37.8333333)- INT(ABS(-37.8333333)))*60), "0' ") &amp; TEXT(((((ABS(-37.8333333)-INT(ABS(-37.8333333)))*60)- INT((ABS(-37.8333333) - INT(ABS(-37.8333333)))*60))*60), " 0''")</f>
        <v>-37°c c49  60</v>
      </c>
      <c r="J10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11" spans="1:10">
      <c r="A11" t="s">
        <v>10</v>
      </c>
      <c r="B11" s="2">
        <v>1200</v>
      </c>
      <c r="C11" t="s">
        <v>50</v>
      </c>
      <c r="D11" t="s">
        <v>51</v>
      </c>
      <c r="E11" t="s">
        <v>52</v>
      </c>
      <c r="F11" t="s">
        <v>53</v>
      </c>
      <c r="G11" t="s">
        <v>54</v>
      </c>
      <c r="H11" s="3">
        <v>39814.38958333333</v>
      </c>
      <c r="I11" t="str">
        <f ca="1">TEXT(TRUNC(53.8166667), "0" &amp; CHAR(176) &amp; " ") &amp; TEXT(INT((ABS(53.8166667)- INT(ABS(53.8166667)))*60), "0' ") &amp; TEXT(((((ABS(53.8166667)-INT(ABS(53.8166667)))*60)- INT((ABS(53.8166667) - INT(ABS(53.8166667)))*60))*60), " 0''")</f>
        <v>53°c c49  0</v>
      </c>
      <c r="J11" t="str">
        <f ca="1">TEXT(TRUNC(-3.05), "0" &amp; CHAR(176) &amp; " ") &amp; TEXT(INT((ABS(-3.05)- INT(ABS(-3.05)))*60), "0' ") &amp; TEXT(((((ABS(-3.05)-INT(ABS(-3.05)))*60)- INT((ABS(-3.05) - INT(ABS(-3.05)))*60))*60), " 0''")</f>
        <v>-3°c c2  60</v>
      </c>
    </row>
    <row r="12" spans="1:10">
      <c r="A12" t="s">
        <v>10</v>
      </c>
      <c r="B12" s="2">
        <v>1200</v>
      </c>
      <c r="C12" t="s">
        <v>11</v>
      </c>
      <c r="D12" t="s">
        <v>55</v>
      </c>
      <c r="E12" t="s">
        <v>56</v>
      </c>
      <c r="F12" t="s">
        <v>57</v>
      </c>
      <c r="G12" t="s">
        <v>15</v>
      </c>
      <c r="H12" s="3">
        <v>39814.399305555555</v>
      </c>
      <c r="I12" t="str">
        <f ca="1">TEXT(TRUNC(34.22417), "0" &amp; CHAR(176) &amp; " ") &amp; TEXT(INT((ABS(34.22417)- INT(ABS(34.22417)))*60), "0' ") &amp; TEXT(((((ABS(34.22417)-INT(ABS(34.22417)))*60)- INT((ABS(34.22417) - INT(ABS(34.22417)))*60))*60), " 0''")</f>
        <v>34°c c13  27</v>
      </c>
      <c r="J12" t="str">
        <f ca="1">TEXT(TRUNC(-118.23917), "0" &amp; CHAR(176) &amp; " ") &amp; TEXT(INT((ABS(-118.23917)- INT(ABS(-118.23917)))*60), "0' ") &amp; TEXT(((((ABS(-118.23917)-INT(ABS(-118.23917)))*60)- INT((ABS(-118.23917) - INT(ABS(-118.23917)))*60))*60), " 0''")</f>
        <v>-118°c c14  21</v>
      </c>
    </row>
    <row r="13" spans="1:10">
      <c r="A13" t="s">
        <v>10</v>
      </c>
      <c r="B13" s="2">
        <v>1200</v>
      </c>
      <c r="C13" t="s">
        <v>50</v>
      </c>
      <c r="D13" t="s">
        <v>62</v>
      </c>
      <c r="E13" t="s">
        <v>63</v>
      </c>
      <c r="F13" t="s">
        <v>64</v>
      </c>
      <c r="G13" t="s">
        <v>65</v>
      </c>
      <c r="H13" s="3">
        <v>39814.461805555555</v>
      </c>
      <c r="I13" t="str">
        <f ca="1">TEXT(TRUNC(51.8630556), "0" &amp; CHAR(176) &amp; " ") &amp; TEXT(INT((ABS(51.8630556)- INT(ABS(51.8630556)))*60), "0' ") &amp; TEXT(((((ABS(51.8630556)-INT(ABS(51.8630556)))*60)- INT((ABS(51.8630556) - INT(ABS(51.8630556)))*60))*60), " 0''")</f>
        <v>51°c c51  47</v>
      </c>
      <c r="J13" t="str">
        <f ca="1">TEXT(TRUNC(-8.58), "0" &amp; CHAR(176) &amp; " ") &amp; TEXT(INT((ABS(-8.58)- INT(ABS(-8.58)))*60), "0' ") &amp; TEXT(((((ABS(-8.58)-INT(ABS(-8.58)))*60)- INT((ABS(-8.58) - INT(ABS(-8.58)))*60))*60), " 0''")</f>
        <v>-8°c c34  48</v>
      </c>
    </row>
    <row r="14" spans="1:10">
      <c r="A14" t="s">
        <v>10</v>
      </c>
      <c r="B14" s="2">
        <v>1200</v>
      </c>
      <c r="C14" t="s">
        <v>24</v>
      </c>
      <c r="D14" t="s">
        <v>66</v>
      </c>
      <c r="E14" t="s">
        <v>67</v>
      </c>
      <c r="F14" t="s">
        <v>68</v>
      </c>
      <c r="G14" t="s">
        <v>15</v>
      </c>
      <c r="H14" s="3">
        <v>39814.513194444444</v>
      </c>
      <c r="I14" t="str">
        <f ca="1">TEXT(TRUNC(47.25028), "0" &amp; CHAR(176) &amp; " ") &amp; TEXT(INT((ABS(47.25028)- INT(ABS(47.25028)))*60), "0' ") &amp; TEXT(((((ABS(47.25028)-INT(ABS(47.25028)))*60)- INT((ABS(47.25028) - INT(ABS(47.25028)))*60))*60), " 0''")</f>
        <v>47°c c15  1</v>
      </c>
      <c r="J14" t="str">
        <f ca="1">TEXT(TRUNC(-122.2925), "0" &amp; CHAR(176) &amp; " ") &amp; TEXT(INT((ABS(-122.2925)- INT(ABS(-122.2925)))*60), "0' ") &amp; TEXT(((((ABS(-122.2925)-INT(ABS(-122.2925)))*60)- INT((ABS(-122.2925) - INT(ABS(-122.2925)))*60))*60), " 0''")</f>
        <v>-122°c c17  33</v>
      </c>
    </row>
    <row r="15" spans="1:10">
      <c r="A15" t="s">
        <v>10</v>
      </c>
      <c r="B15" s="2">
        <v>1200</v>
      </c>
      <c r="C15" t="s">
        <v>24</v>
      </c>
      <c r="D15" t="s">
        <v>76</v>
      </c>
      <c r="E15" t="s">
        <v>77</v>
      </c>
      <c r="F15" t="s">
        <v>53</v>
      </c>
      <c r="G15" t="s">
        <v>54</v>
      </c>
      <c r="H15" s="3">
        <v>39814.529166666667</v>
      </c>
      <c r="I15" t="str">
        <f ca="1">TEXT(TRUNC(50.7), "0" &amp; CHAR(176) &amp; " ") &amp; TEXT(INT((ABS(50.7)- INT(ABS(50.7)))*60), "0' ") &amp; TEXT(((((ABS(50.7)-INT(ABS(50.7)))*60)- INT((ABS(50.7) - INT(ABS(50.7)))*60))*60), " 0''")</f>
        <v>50°c c42  0</v>
      </c>
      <c r="J15" t="str">
        <f ca="1">TEXT(TRUNC(-3.5333333), "0" &amp; CHAR(176) &amp; " ") &amp; TEXT(INT((ABS(-3.5333333)- INT(ABS(-3.5333333)))*60), "0' ") &amp; TEXT(((((ABS(-3.5333333)-INT(ABS(-3.5333333)))*60)- INT((ABS(-3.5333333) - INT(ABS(-3.5333333)))*60))*60), " 0''")</f>
        <v>-3°c c31  60</v>
      </c>
    </row>
    <row r="16" spans="1:10">
      <c r="A16" t="s">
        <v>10</v>
      </c>
      <c r="B16" s="2">
        <v>1200</v>
      </c>
      <c r="C16" t="s">
        <v>11</v>
      </c>
      <c r="D16" t="s">
        <v>78</v>
      </c>
      <c r="E16" t="s">
        <v>79</v>
      </c>
      <c r="F16" t="s">
        <v>80</v>
      </c>
      <c r="G16" t="s">
        <v>81</v>
      </c>
      <c r="H16" s="3">
        <v>39814.59652777778</v>
      </c>
      <c r="I16" t="str">
        <f ca="1">TEXT(TRUNC(51.7), "0" &amp; CHAR(176) &amp; " ") &amp; TEXT(INT((ABS(51.7)- INT(ABS(51.7)))*60), "0' ") &amp; TEXT(((((ABS(51.7)-INT(ABS(51.7)))*60)- INT((ABS(51.7) - INT(ABS(51.7)))*60))*60), " 0''")</f>
        <v>51°c c42  0</v>
      </c>
      <c r="J16" t="str">
        <f ca="1">TEXT(TRUNC(-113.2666667), "0" &amp; CHAR(176) &amp; " ") &amp; TEXT(INT((ABS(-113.2666667)- INT(ABS(-113.2666667)))*60), "0' ") &amp; TEXT(((((ABS(-113.2666667)-INT(ABS(-113.2666667)))*60)- INT((ABS(-113.2666667) - INT(ABS(-113.2666667)))*60))*60), " 0''")</f>
        <v>-113°c c16  0</v>
      </c>
    </row>
    <row r="17" spans="1:10">
      <c r="A17" t="s">
        <v>10</v>
      </c>
      <c r="B17" s="2">
        <v>1200</v>
      </c>
      <c r="C17" t="s">
        <v>11</v>
      </c>
      <c r="D17" t="s">
        <v>82</v>
      </c>
      <c r="E17" t="s">
        <v>83</v>
      </c>
      <c r="F17" t="s">
        <v>84</v>
      </c>
      <c r="G17" t="s">
        <v>85</v>
      </c>
      <c r="H17" s="3">
        <v>39814.598611111112</v>
      </c>
      <c r="I17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17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18" spans="1:10">
      <c r="A18" t="s">
        <v>10</v>
      </c>
      <c r="B18" s="2">
        <v>1200</v>
      </c>
      <c r="C18" t="s">
        <v>24</v>
      </c>
      <c r="D18" t="s">
        <v>86</v>
      </c>
      <c r="E18" t="s">
        <v>87</v>
      </c>
      <c r="F18" t="s">
        <v>53</v>
      </c>
      <c r="G18" t="s">
        <v>54</v>
      </c>
      <c r="H18" s="3">
        <v>39814.666666666664</v>
      </c>
      <c r="I18" t="str">
        <f ca="1">TEXT(TRUNC(53.5833333), "0" &amp; CHAR(176) &amp; " ") &amp; TEXT(INT((ABS(53.5833333)- INT(ABS(53.5833333)))*60), "0' ") &amp; TEXT(((((ABS(53.5833333)-INT(ABS(53.5833333)))*60)- INT((ABS(53.5833333) - INT(ABS(53.5833333)))*60))*60), " 0''")</f>
        <v>53°c c34  60</v>
      </c>
      <c r="J18" t="str">
        <f ca="1">TEXT(TRUNC(-2.4333333), "0" &amp; CHAR(176) &amp; " ") &amp; TEXT(INT((ABS(-2.4333333)- INT(ABS(-2.4333333)))*60), "0' ") &amp; TEXT(((((ABS(-2.4333333)-INT(ABS(-2.4333333)))*60)- INT((ABS(-2.4333333) - INT(ABS(-2.4333333)))*60))*60), " 0''")</f>
        <v>-2°c c25  60</v>
      </c>
    </row>
    <row r="19" spans="1:10">
      <c r="A19" t="s">
        <v>10</v>
      </c>
      <c r="B19" s="2">
        <v>1200</v>
      </c>
      <c r="C19" t="s">
        <v>33</v>
      </c>
      <c r="D19" t="s">
        <v>88</v>
      </c>
      <c r="E19" t="s">
        <v>89</v>
      </c>
      <c r="F19" t="s">
        <v>90</v>
      </c>
      <c r="G19" t="s">
        <v>15</v>
      </c>
      <c r="H19" s="3">
        <v>39814.697222222225</v>
      </c>
      <c r="I19" t="str">
        <f ca="1">TEXT(TRUNC(39.08389), "0" &amp; CHAR(176) &amp; " ") &amp; TEXT(INT((ABS(39.08389)- INT(ABS(39.08389)))*60), "0' ") &amp; TEXT(((((ABS(39.08389)-INT(ABS(39.08389)))*60)- INT((ABS(39.08389) - INT(ABS(39.08389)))*60))*60), " 0''")</f>
        <v>39°c c5  2</v>
      </c>
      <c r="J19" t="str">
        <f ca="1">TEXT(TRUNC(-77.15306), "0" &amp; CHAR(176) &amp; " ") &amp; TEXT(INT((ABS(-77.15306)- INT(ABS(-77.15306)))*60), "0' ") &amp; TEXT(((((ABS(-77.15306)-INT(ABS(-77.15306)))*60)- INT((ABS(-77.15306) - INT(ABS(-77.15306)))*60))*60), " 0''")</f>
        <v>-77°c c9  11</v>
      </c>
    </row>
    <row r="20" spans="1:10">
      <c r="A20" t="s">
        <v>10</v>
      </c>
      <c r="B20" s="2">
        <v>1200</v>
      </c>
      <c r="C20" t="s">
        <v>33</v>
      </c>
      <c r="D20" t="s">
        <v>91</v>
      </c>
      <c r="E20" t="s">
        <v>92</v>
      </c>
      <c r="F20" t="s">
        <v>57</v>
      </c>
      <c r="G20" t="s">
        <v>15</v>
      </c>
      <c r="H20" s="3">
        <v>39814.772222222222</v>
      </c>
      <c r="I20" t="str">
        <f ca="1">TEXT(TRUNC(37.56306), "0" &amp; CHAR(176) &amp; " ") &amp; TEXT(INT((ABS(37.56306)- INT(ABS(37.56306)))*60), "0' ") &amp; TEXT(((((ABS(37.56306)-INT(ABS(37.56306)))*60)- INT((ABS(37.56306) - INT(ABS(37.56306)))*60))*60), " 0''")</f>
        <v>37°c c33  47</v>
      </c>
      <c r="J20" t="str">
        <f ca="1">TEXT(TRUNC(-122.32444), "0" &amp; CHAR(176) &amp; " ") &amp; TEXT(INT((ABS(-122.32444)- INT(ABS(-122.32444)))*60), "0' ") &amp; TEXT(((((ABS(-122.32444)-INT(ABS(-122.32444)))*60)- INT((ABS(-122.32444) - INT(ABS(-122.32444)))*60))*60), " 0''")</f>
        <v>-122°c c19  28</v>
      </c>
    </row>
    <row r="21" spans="1:10">
      <c r="A21" t="s">
        <v>10</v>
      </c>
      <c r="B21" s="2">
        <v>1200</v>
      </c>
      <c r="C21" t="s">
        <v>50</v>
      </c>
      <c r="D21" t="s">
        <v>93</v>
      </c>
      <c r="E21" t="s">
        <v>94</v>
      </c>
      <c r="F21" t="s">
        <v>95</v>
      </c>
      <c r="G21" t="s">
        <v>81</v>
      </c>
      <c r="H21" s="3">
        <v>39814.809027777781</v>
      </c>
      <c r="I21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21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22" spans="1:10">
      <c r="A22" t="s">
        <v>10</v>
      </c>
      <c r="B22" s="2">
        <v>1200</v>
      </c>
      <c r="C22" t="s">
        <v>24</v>
      </c>
      <c r="D22" t="s">
        <v>96</v>
      </c>
      <c r="E22" t="s">
        <v>97</v>
      </c>
      <c r="F22" t="s">
        <v>98</v>
      </c>
      <c r="G22" t="s">
        <v>15</v>
      </c>
      <c r="H22" s="3">
        <v>39814.847916666666</v>
      </c>
      <c r="I22" t="str">
        <f ca="1">TEXT(TRUNC(40.61278), "0" &amp; CHAR(176) &amp; " ") &amp; TEXT(INT((ABS(40.61278)- INT(ABS(40.61278)))*60), "0' ") &amp; TEXT(((((ABS(40.61278)-INT(ABS(40.61278)))*60)- INT((ABS(40.61278) - INT(ABS(40.61278)))*60))*60), " 0''")</f>
        <v>40°c c36  46</v>
      </c>
      <c r="J22" t="str">
        <f ca="1">TEXT(TRUNC(-89.45917), "0" &amp; CHAR(176) &amp; " ") &amp; TEXT(INT((ABS(-89.45917)- INT(ABS(-89.45917)))*60), "0' ") &amp; TEXT(((((ABS(-89.45917)-INT(ABS(-89.45917)))*60)- INT((ABS(-89.45917) - INT(ABS(-89.45917)))*60))*60), " 0''")</f>
        <v>-89°c c27  33</v>
      </c>
    </row>
    <row r="23" spans="1:10">
      <c r="A23" t="s">
        <v>10</v>
      </c>
      <c r="B23" s="2">
        <v>1200</v>
      </c>
      <c r="C23" t="s">
        <v>24</v>
      </c>
      <c r="D23" t="s">
        <v>99</v>
      </c>
      <c r="E23" t="s">
        <v>100</v>
      </c>
      <c r="F23" t="s">
        <v>80</v>
      </c>
      <c r="G23" t="s">
        <v>81</v>
      </c>
      <c r="H23" s="3">
        <v>39814.852777777778</v>
      </c>
      <c r="I23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3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4" spans="1:10">
      <c r="A24" t="s">
        <v>10</v>
      </c>
      <c r="B24" s="2">
        <v>1200</v>
      </c>
      <c r="C24" t="s">
        <v>11</v>
      </c>
      <c r="D24" t="s">
        <v>101</v>
      </c>
      <c r="E24" t="s">
        <v>102</v>
      </c>
      <c r="F24" t="s">
        <v>48</v>
      </c>
      <c r="G24" t="s">
        <v>49</v>
      </c>
      <c r="H24" s="3">
        <v>39814.902777777781</v>
      </c>
      <c r="I24" t="str">
        <f ca="1">TEXT(TRUNC(-38.4166667), "0" &amp; CHAR(176) &amp; " ") &amp; TEXT(INT((ABS(-38.4166667)- INT(ABS(-38.4166667)))*60), "0' ") &amp; TEXT(((((ABS(-38.4166667)-INT(ABS(-38.4166667)))*60)- INT((ABS(-38.4166667) - INT(ABS(-38.4166667)))*60))*60), " 0''")</f>
        <v>-38°c c25  0</v>
      </c>
      <c r="J24" t="str">
        <f ca="1">TEXT(TRUNC(144.1666667), "0" &amp; CHAR(176) &amp; " ") &amp; TEXT(INT((ABS(144.1666667)- INT(ABS(144.1666667)))*60), "0' ") &amp; TEXT(((((ABS(144.1666667)-INT(ABS(144.1666667)))*60)- INT((ABS(144.1666667) - INT(ABS(144.1666667)))*60))*60), " 0''")</f>
        <v>144°c c10  0</v>
      </c>
    </row>
    <row r="25" spans="1:10">
      <c r="A25" t="s">
        <v>10</v>
      </c>
      <c r="B25" s="2">
        <v>1200</v>
      </c>
      <c r="C25" t="s">
        <v>24</v>
      </c>
      <c r="D25" t="s">
        <v>103</v>
      </c>
      <c r="E25" t="s">
        <v>104</v>
      </c>
      <c r="F25" t="s">
        <v>105</v>
      </c>
      <c r="G25" t="s">
        <v>106</v>
      </c>
      <c r="H25" s="3">
        <v>39815.034722222219</v>
      </c>
      <c r="I25" t="str">
        <f ca="1">TEXT(TRUNC(40.6166667), "0" &amp; CHAR(176) &amp; " ") &amp; TEXT(INT((ABS(40.6166667)- INT(ABS(40.6166667)))*60), "0' ") &amp; TEXT(((((ABS(40.6166667)-INT(ABS(40.6166667)))*60)- INT((ABS(40.6166667) - INT(ABS(40.6166667)))*60))*60), " 0''")</f>
        <v>40°c c37  0</v>
      </c>
      <c r="J25" t="str">
        <f ca="1">TEXT(TRUNC(29.0666667), "0" &amp; CHAR(176) &amp; " ") &amp; TEXT(INT((ABS(29.0666667)- INT(ABS(29.0666667)))*60), "0' ") &amp; TEXT(((((ABS(29.0666667)-INT(ABS(29.0666667)))*60)- INT((ABS(29.0666667) - INT(ABS(29.0666667)))*60))*60), " 0''")</f>
        <v>29°c c4  0</v>
      </c>
    </row>
    <row r="26" spans="1:10">
      <c r="A26" t="s">
        <v>10</v>
      </c>
      <c r="B26" s="2">
        <v>1200</v>
      </c>
      <c r="C26" t="s">
        <v>11</v>
      </c>
      <c r="D26" t="s">
        <v>107</v>
      </c>
      <c r="E26" t="s">
        <v>108</v>
      </c>
      <c r="F26" t="s">
        <v>109</v>
      </c>
      <c r="G26" t="s">
        <v>110</v>
      </c>
      <c r="H26" s="3">
        <v>39815.049305555556</v>
      </c>
      <c r="I26" t="str">
        <f ca="1">TEXT(TRUNC(62.9), "0" &amp; CHAR(176) &amp; " ") &amp; TEXT(INT((ABS(62.9)- INT(ABS(62.9)))*60), "0' ") &amp; TEXT(((((ABS(62.9)-INT(ABS(62.9)))*60)- INT((ABS(62.9) - INT(ABS(62.9)))*60))*60), " 0''")</f>
        <v>62°c c53  60</v>
      </c>
      <c r="J26" t="str">
        <f ca="1">TEXT(TRUNC(27.6833333), "0" &amp; CHAR(176) &amp; " ") &amp; TEXT(INT((ABS(27.6833333)- INT(ABS(27.6833333)))*60), "0' ") &amp; TEXT(((((ABS(27.6833333)-INT(ABS(27.6833333)))*60)- INT((ABS(27.6833333) - INT(ABS(27.6833333)))*60))*60), " 0''")</f>
        <v>27°c c40  60</v>
      </c>
    </row>
    <row r="27" spans="1:10">
      <c r="A27" t="s">
        <v>10</v>
      </c>
      <c r="B27" s="2">
        <v>1200</v>
      </c>
      <c r="C27" t="s">
        <v>11</v>
      </c>
      <c r="D27" t="s">
        <v>111</v>
      </c>
      <c r="E27" t="s">
        <v>112</v>
      </c>
      <c r="F27" t="s">
        <v>113</v>
      </c>
      <c r="G27" t="s">
        <v>49</v>
      </c>
      <c r="H27" s="3">
        <v>39815.102777777778</v>
      </c>
      <c r="I27" t="str">
        <f ca="1">TEXT(TRUNC(-27.8833333), "0" &amp; CHAR(176) &amp; " ") &amp; TEXT(INT((ABS(-27.8833333)- INT(ABS(-27.8833333)))*60), "0' ") &amp; TEXT(((((ABS(-27.8833333)-INT(ABS(-27.8833333)))*60)- INT((ABS(-27.8833333) - INT(ABS(-27.8833333)))*60))*60), " 0''")</f>
        <v>-27°c c52  60</v>
      </c>
      <c r="J27" t="str">
        <f ca="1">TEXT(TRUNC(153.3), "0" &amp; CHAR(176) &amp; " ") &amp; TEXT(INT((ABS(153.3)- INT(ABS(153.3)))*60), "0' ") &amp; TEXT(((((ABS(153.3)-INT(ABS(153.3)))*60)- INT((ABS(153.3) - INT(ABS(153.3)))*60))*60), " 0''")</f>
        <v>153°c c18  0</v>
      </c>
    </row>
    <row r="28" spans="1:10">
      <c r="A28" t="s">
        <v>10</v>
      </c>
      <c r="B28" s="2">
        <v>1200</v>
      </c>
      <c r="C28" t="s">
        <v>24</v>
      </c>
      <c r="D28" t="s">
        <v>114</v>
      </c>
      <c r="E28" t="s">
        <v>115</v>
      </c>
      <c r="F28" t="s">
        <v>116</v>
      </c>
      <c r="G28" t="s">
        <v>65</v>
      </c>
      <c r="H28" s="3">
        <v>39815.118055555555</v>
      </c>
      <c r="I28" t="str">
        <f ca="1">TEXT(TRUNC(53.0683333), "0" &amp; CHAR(176) &amp; " ") &amp; TEXT(INT((ABS(53.0683333)- INT(ABS(53.0683333)))*60), "0' ") &amp; TEXT(((((ABS(53.0683333)-INT(ABS(53.0683333)))*60)- INT((ABS(53.0683333) - INT(ABS(53.0683333)))*60))*60), " 0''")</f>
        <v>53°c c4  6</v>
      </c>
      <c r="J28" t="str">
        <f ca="1">TEXT(TRUNC(-6.0658333), "0" &amp; CHAR(176) &amp; " ") &amp; TEXT(INT((ABS(-6.0658333)- INT(ABS(-6.0658333)))*60), "0' ") &amp; TEXT(((((ABS(-6.0658333)-INT(ABS(-6.0658333)))*60)- INT((ABS(-6.0658333) - INT(ABS(-6.0658333)))*60))*60), " 0''")</f>
        <v>-6°c c3  57</v>
      </c>
    </row>
    <row r="29" spans="1:10">
      <c r="A29" t="s">
        <v>10</v>
      </c>
      <c r="B29" s="2">
        <v>1200</v>
      </c>
      <c r="C29" t="s">
        <v>24</v>
      </c>
      <c r="D29" t="s">
        <v>117</v>
      </c>
      <c r="E29" t="s">
        <v>118</v>
      </c>
      <c r="F29" t="s">
        <v>53</v>
      </c>
      <c r="G29" t="s">
        <v>54</v>
      </c>
      <c r="H29" s="3">
        <v>39815.122916666667</v>
      </c>
      <c r="I29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29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30" spans="1:10">
      <c r="A30" t="s">
        <v>10</v>
      </c>
      <c r="B30" s="2">
        <v>1200</v>
      </c>
      <c r="C30" t="s">
        <v>24</v>
      </c>
      <c r="D30" t="s">
        <v>39</v>
      </c>
      <c r="E30" t="s">
        <v>119</v>
      </c>
      <c r="F30" t="s">
        <v>120</v>
      </c>
      <c r="G30" t="s">
        <v>85</v>
      </c>
      <c r="H30" s="3">
        <v>39815.18125</v>
      </c>
      <c r="I30" t="str">
        <f ca="1">TEXT(TRUNC(59.8166667), "0" &amp; CHAR(176) &amp; " ") &amp; TEXT(INT((ABS(59.8166667)- INT(ABS(59.8166667)))*60), "0' ") &amp; TEXT(((((ABS(59.8166667)-INT(ABS(59.8166667)))*60)- INT((ABS(59.8166667) - INT(ABS(59.8166667)))*60))*60), " 0''")</f>
        <v>59°c c49  0</v>
      </c>
      <c r="J30" t="str">
        <f ca="1">TEXT(TRUNC(10.25), "0" &amp; CHAR(176) &amp; " ") &amp; TEXT(INT((ABS(10.25)- INT(ABS(10.25)))*60), "0' ") &amp; TEXT(((((ABS(10.25)-INT(ABS(10.25)))*60)- INT((ABS(10.25) - INT(ABS(10.25)))*60))*60), " 0''")</f>
        <v>10°c c15  0</v>
      </c>
    </row>
    <row r="31" spans="1:10">
      <c r="A31" t="s">
        <v>10</v>
      </c>
      <c r="B31" s="2">
        <v>1200</v>
      </c>
      <c r="C31" t="s">
        <v>24</v>
      </c>
      <c r="D31" t="s">
        <v>121</v>
      </c>
      <c r="E31" t="s">
        <v>122</v>
      </c>
      <c r="F31" t="s">
        <v>53</v>
      </c>
      <c r="G31" t="s">
        <v>54</v>
      </c>
      <c r="H31" s="3">
        <v>39815.19027777778</v>
      </c>
      <c r="I31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31" t="str">
        <f ca="1">TEXT(TRUNC(-0.3333333), "0" &amp; CHAR(176) &amp; " ") &amp; TEXT(INT((ABS(-0.3333333)- INT(ABS(-0.3333333)))*60), "0' ") &amp; TEXT(((((ABS(-0.3333333)-INT(ABS(-0.3333333)))*60)- INT((ABS(-0.3333333) - INT(ABS(-0.3333333)))*60))*60), " 0''")</f>
        <v>0°c c19  60</v>
      </c>
    </row>
    <row r="32" spans="1:10">
      <c r="A32" t="s">
        <v>10</v>
      </c>
      <c r="B32" s="2">
        <v>1200</v>
      </c>
      <c r="C32" t="s">
        <v>24</v>
      </c>
      <c r="D32" t="s">
        <v>123</v>
      </c>
      <c r="E32" t="s">
        <v>124</v>
      </c>
      <c r="F32" t="s">
        <v>125</v>
      </c>
      <c r="G32" t="s">
        <v>15</v>
      </c>
      <c r="H32" s="3">
        <v>39815.203472222223</v>
      </c>
      <c r="I32" t="str">
        <f ca="1">TEXT(TRUNC(39.195), "0" &amp; CHAR(176) &amp; " ") &amp; TEXT(INT((ABS(39.195)- INT(ABS(39.195)))*60), "0' ") &amp; TEXT(((((ABS(39.195)-INT(ABS(39.195)))*60)- INT((ABS(39.195) - INT(ABS(39.195)))*60))*60), " 0''")</f>
        <v>39°c c11  42</v>
      </c>
      <c r="J32" t="str">
        <f ca="1">TEXT(TRUNC(-94.68194), "0" &amp; CHAR(176) &amp; " ") &amp; TEXT(INT((ABS(-94.68194)- INT(ABS(-94.68194)))*60), "0' ") &amp; TEXT(((((ABS(-94.68194)-INT(ABS(-94.68194)))*60)- INT((ABS(-94.68194) - INT(ABS(-94.68194)))*60))*60), " 0''")</f>
        <v>-94°c c40  55</v>
      </c>
    </row>
    <row r="33" spans="1:10">
      <c r="A33" t="s">
        <v>10</v>
      </c>
      <c r="B33" s="2">
        <v>1200</v>
      </c>
      <c r="C33" t="s">
        <v>24</v>
      </c>
      <c r="D33" t="s">
        <v>126</v>
      </c>
      <c r="E33" t="s">
        <v>127</v>
      </c>
      <c r="F33" t="s">
        <v>53</v>
      </c>
      <c r="G33" t="s">
        <v>54</v>
      </c>
      <c r="H33" s="3">
        <v>39815.218055555553</v>
      </c>
      <c r="I33" t="str">
        <f ca="1">TEXT(TRUNC(54.5833333), "0" &amp; CHAR(176) &amp; " ") &amp; TEXT(INT((ABS(54.5833333)- INT(ABS(54.5833333)))*60), "0' ") &amp; TEXT(((((ABS(54.5833333)-INT(ABS(54.5833333)))*60)- INT((ABS(54.5833333) - INT(ABS(54.5833333)))*60))*60), " 0''")</f>
        <v>54°c c34  60</v>
      </c>
      <c r="J33" t="str">
        <f ca="1">TEXT(TRUNC(-1.4166667), "0" &amp; CHAR(176) &amp; " ") &amp; TEXT(INT((ABS(-1.4166667)- INT(ABS(-1.4166667)))*60), "0' ") &amp; TEXT(((((ABS(-1.4166667)-INT(ABS(-1.4166667)))*60)- INT((ABS(-1.4166667) - INT(ABS(-1.4166667)))*60))*60), " 0''")</f>
        <v>-1°c c25  0</v>
      </c>
    </row>
    <row r="34" spans="1:10">
      <c r="A34" t="s">
        <v>10</v>
      </c>
      <c r="B34" s="2">
        <v>1200</v>
      </c>
      <c r="C34" t="s">
        <v>24</v>
      </c>
      <c r="D34" t="s">
        <v>128</v>
      </c>
      <c r="E34" t="s">
        <v>129</v>
      </c>
      <c r="F34" t="s">
        <v>130</v>
      </c>
      <c r="G34" t="s">
        <v>54</v>
      </c>
      <c r="H34" s="3">
        <v>39815.23125</v>
      </c>
      <c r="I34" t="str">
        <f ca="1">TEXT(TRUNC(57.1333333), "0" &amp; CHAR(176) &amp; " ") &amp; TEXT(INT((ABS(57.1333333)- INT(ABS(57.1333333)))*60), "0' ") &amp; TEXT(((((ABS(57.1333333)-INT(ABS(57.1333333)))*60)- INT((ABS(57.1333333) - INT(ABS(57.1333333)))*60))*60), " 0''")</f>
        <v>57°c c7  60</v>
      </c>
      <c r="J34" t="str">
        <f ca="1">TEXT(TRUNC(-2.1), "0" &amp; CHAR(176) &amp; " ") &amp; TEXT(INT((ABS(-2.1)- INT(ABS(-2.1)))*60), "0' ") &amp; TEXT(((((ABS(-2.1)-INT(ABS(-2.1)))*60)- INT((ABS(-2.1) - INT(ABS(-2.1)))*60))*60), " 0''")</f>
        <v>-2°c c6  0</v>
      </c>
    </row>
    <row r="35" spans="1:10">
      <c r="A35" t="s">
        <v>10</v>
      </c>
      <c r="B35" s="2">
        <v>1200</v>
      </c>
      <c r="C35" t="s">
        <v>24</v>
      </c>
      <c r="D35" t="s">
        <v>131</v>
      </c>
      <c r="E35" t="s">
        <v>132</v>
      </c>
      <c r="F35" t="s">
        <v>53</v>
      </c>
      <c r="G35" t="s">
        <v>54</v>
      </c>
      <c r="H35" s="3">
        <v>39815.254861111112</v>
      </c>
      <c r="I35" t="str">
        <f ca="1">TEXT(TRUNC(51.6766667), "0" &amp; CHAR(176) &amp; " ") &amp; TEXT(INT((ABS(51.6766667)- INT(ABS(51.6766667)))*60), "0' ") &amp; TEXT(((((ABS(51.6766667)-INT(ABS(51.6766667)))*60)- INT((ABS(51.6766667) - INT(ABS(51.6766667)))*60))*60), " 0''")</f>
        <v>51°c c40  36</v>
      </c>
      <c r="J35" t="str">
        <f ca="1">TEXT(TRUNC(-2.0180556), "0" &amp; CHAR(176) &amp; " ") &amp; TEXT(INT((ABS(-2.0180556)- INT(ABS(-2.0180556)))*60), "0' ") &amp; TEXT(((((ABS(-2.0180556)-INT(ABS(-2.0180556)))*60)- INT((ABS(-2.0180556) - INT(ABS(-2.0180556)))*60))*60), " 0''")</f>
        <v>-2°c c1  5</v>
      </c>
    </row>
    <row r="36" spans="1:10">
      <c r="A36" t="s">
        <v>10</v>
      </c>
      <c r="B36" s="2">
        <v>1200</v>
      </c>
      <c r="C36" t="s">
        <v>11</v>
      </c>
      <c r="D36" t="s">
        <v>133</v>
      </c>
      <c r="E36" t="s">
        <v>134</v>
      </c>
      <c r="F36" t="s">
        <v>53</v>
      </c>
      <c r="G36" t="s">
        <v>54</v>
      </c>
      <c r="H36" s="3">
        <v>39815.261805555558</v>
      </c>
      <c r="I36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36" t="str">
        <f ca="1">TEXT(TRUNC(-1.1166667), "0" &amp; CHAR(176) &amp; " ") &amp; TEXT(INT((ABS(-1.1166667)- INT(ABS(-1.1166667)))*60), "0' ") &amp; TEXT(((((ABS(-1.1166667)-INT(ABS(-1.1166667)))*60)- INT((ABS(-1.1166667) - INT(ABS(-1.1166667)))*60))*60), " 0''")</f>
        <v>-1°c c7  0</v>
      </c>
    </row>
    <row r="37" spans="1:10">
      <c r="A37" t="s">
        <v>10</v>
      </c>
      <c r="B37" s="2">
        <v>1200</v>
      </c>
      <c r="C37" t="s">
        <v>24</v>
      </c>
      <c r="D37" t="s">
        <v>135</v>
      </c>
      <c r="E37" t="s">
        <v>118</v>
      </c>
      <c r="F37" t="s">
        <v>53</v>
      </c>
      <c r="G37" t="s">
        <v>54</v>
      </c>
      <c r="H37" s="3">
        <v>39815.29375</v>
      </c>
      <c r="I3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3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38" spans="1:10">
      <c r="A38" t="s">
        <v>10</v>
      </c>
      <c r="B38" s="2">
        <v>1200</v>
      </c>
      <c r="C38" t="s">
        <v>11</v>
      </c>
      <c r="D38" t="s">
        <v>136</v>
      </c>
      <c r="E38" t="s">
        <v>137</v>
      </c>
      <c r="F38" t="s">
        <v>14</v>
      </c>
      <c r="G38" t="s">
        <v>15</v>
      </c>
      <c r="H38" s="3">
        <v>39815.3125</v>
      </c>
      <c r="I38" t="str">
        <f ca="1">TEXT(TRUNC(40.835), "0" &amp; CHAR(176) &amp; " ") &amp; TEXT(INT((ABS(40.835)- INT(ABS(40.835)))*60), "0' ") &amp; TEXT(((((ABS(40.835)-INT(ABS(40.835)))*60)- INT((ABS(40.835) - INT(ABS(40.835)))*60))*60), " 0''")</f>
        <v>40°c c50  6</v>
      </c>
      <c r="J38" t="str">
        <f ca="1">TEXT(TRUNC(-73.13167), "0" &amp; CHAR(176) &amp; " ") &amp; TEXT(INT((ABS(-73.13167)- INT(ABS(-73.13167)))*60), "0' ") &amp; TEXT(((((ABS(-73.13167)-INT(ABS(-73.13167)))*60)- INT((ABS(-73.13167) - INT(ABS(-73.13167)))*60))*60), " 0''")</f>
        <v>-73°c c7  54</v>
      </c>
    </row>
    <row r="39" spans="1:10">
      <c r="A39" t="s">
        <v>10</v>
      </c>
      <c r="B39" s="2">
        <v>1200</v>
      </c>
      <c r="C39" t="s">
        <v>50</v>
      </c>
      <c r="D39" t="s">
        <v>138</v>
      </c>
      <c r="E39" t="s">
        <v>139</v>
      </c>
      <c r="F39" t="s">
        <v>140</v>
      </c>
      <c r="G39" t="s">
        <v>15</v>
      </c>
      <c r="H39" s="3">
        <v>39815.315972222219</v>
      </c>
      <c r="I39" t="str">
        <f ca="1">TEXT(TRUNC(40.76083), "0" &amp; CHAR(176) &amp; " ") &amp; TEXT(INT((ABS(40.76083)- INT(ABS(40.76083)))*60), "0' ") &amp; TEXT(((((ABS(40.76083)-INT(ABS(40.76083)))*60)- INT((ABS(40.76083) - INT(ABS(40.76083)))*60))*60), " 0''")</f>
        <v>40°c c45  39</v>
      </c>
      <c r="J39" t="str">
        <f ca="1">TEXT(TRUNC(-111.89028), "0" &amp; CHAR(176) &amp; " ") &amp; TEXT(INT((ABS(-111.89028)- INT(ABS(-111.89028)))*60), "0' ") &amp; TEXT(((((ABS(-111.89028)-INT(ABS(-111.89028)))*60)- INT((ABS(-111.89028) - INT(ABS(-111.89028)))*60))*60), " 0''")</f>
        <v>-111°c c53  25</v>
      </c>
    </row>
    <row r="40" spans="1:10">
      <c r="A40" t="s">
        <v>10</v>
      </c>
      <c r="B40" s="2">
        <v>1200</v>
      </c>
      <c r="C40" t="s">
        <v>50</v>
      </c>
      <c r="D40" t="s">
        <v>141</v>
      </c>
      <c r="E40" t="s">
        <v>118</v>
      </c>
      <c r="F40" t="s">
        <v>53</v>
      </c>
      <c r="G40" t="s">
        <v>54</v>
      </c>
      <c r="H40" s="3">
        <v>39815.324305555558</v>
      </c>
      <c r="I40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40" t="str">
        <f ca="1">TEXT(TRUNC(-0.1166667), "0" &amp; CHAR(176) &amp; " ") &amp; TEXT(INT((ABS(-0.1166667)- INT(ABS(-0.1166667)))*60), "0' ") &amp; TEXT(((((ABS(-0.1166667)-INT(ABS(-0.1166667)))*60)- INT((ABS(-0.1166667) - INT(ABS(-0.1166667)))*60))*60), " 0''")</f>
        <v>0°c c7  0</v>
      </c>
    </row>
    <row r="41" spans="1:10">
      <c r="A41" t="s">
        <v>10</v>
      </c>
      <c r="B41" s="2">
        <v>1200</v>
      </c>
      <c r="C41" t="s">
        <v>24</v>
      </c>
      <c r="D41" t="s">
        <v>142</v>
      </c>
      <c r="E41" t="s">
        <v>143</v>
      </c>
      <c r="F41" t="s">
        <v>144</v>
      </c>
      <c r="G41" t="s">
        <v>145</v>
      </c>
      <c r="H41" s="3">
        <v>39815.354861111111</v>
      </c>
      <c r="I41" t="str">
        <f ca="1">TEXT(TRUNC(47.45), "0" &amp; CHAR(176) &amp; " ") &amp; TEXT(INT((ABS(47.45)- INT(ABS(47.45)))*60), "0' ") &amp; TEXT(((((ABS(47.45)-INT(ABS(47.45)))*60)- INT((ABS(47.45) - INT(ABS(47.45)))*60))*60), " 0''")</f>
        <v>47°c c27  0</v>
      </c>
      <c r="J41" t="str">
        <f ca="1">TEXT(TRUNC(18.9666667), "0" &amp; CHAR(176) &amp; " ") &amp; TEXT(INT((ABS(18.9666667)- INT(ABS(18.9666667)))*60), "0' ") &amp; TEXT(((((ABS(18.9666667)-INT(ABS(18.9666667)))*60)- INT((ABS(18.9666667) - INT(ABS(18.9666667)))*60))*60), " 0''")</f>
        <v>18°c c58  0</v>
      </c>
    </row>
    <row r="42" spans="1:10">
      <c r="A42" t="s">
        <v>10</v>
      </c>
      <c r="B42" s="2">
        <v>1200</v>
      </c>
      <c r="C42" t="s">
        <v>11</v>
      </c>
      <c r="D42" t="s">
        <v>146</v>
      </c>
      <c r="E42" t="s">
        <v>147</v>
      </c>
      <c r="F42" t="s">
        <v>27</v>
      </c>
      <c r="G42" t="s">
        <v>15</v>
      </c>
      <c r="H42" s="3">
        <v>39815.386111111111</v>
      </c>
      <c r="I42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42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43" spans="1:10">
      <c r="A43" t="s">
        <v>10</v>
      </c>
      <c r="B43" s="2">
        <v>1200</v>
      </c>
      <c r="C43" t="s">
        <v>24</v>
      </c>
      <c r="D43" t="s">
        <v>148</v>
      </c>
      <c r="E43" t="s">
        <v>149</v>
      </c>
      <c r="F43" t="s">
        <v>98</v>
      </c>
      <c r="G43" t="s">
        <v>15</v>
      </c>
      <c r="H43" s="3">
        <v>39815.396527777775</v>
      </c>
      <c r="I43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43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44" spans="1:10">
      <c r="A44" t="s">
        <v>10</v>
      </c>
      <c r="B44" s="2">
        <v>1200</v>
      </c>
      <c r="C44" t="s">
        <v>33</v>
      </c>
      <c r="D44" t="s">
        <v>150</v>
      </c>
      <c r="E44" t="s">
        <v>151</v>
      </c>
      <c r="F44" t="s">
        <v>152</v>
      </c>
      <c r="G44" t="s">
        <v>15</v>
      </c>
      <c r="H44" s="3">
        <v>39815.414583333331</v>
      </c>
      <c r="I44" t="str">
        <f ca="1">TEXT(TRUNC(39.05), "0" &amp; CHAR(176) &amp; " ") &amp; TEXT(INT((ABS(39.05)- INT(ABS(39.05)))*60), "0' ") &amp; TEXT(((((ABS(39.05)-INT(ABS(39.05)))*60)- INT((ABS(39.05) - INT(ABS(39.05)))*60))*60), " 0''")</f>
        <v>39°c c2  60</v>
      </c>
      <c r="J44" t="str">
        <f ca="1">TEXT(TRUNC(-77.40111), "0" &amp; CHAR(176) &amp; " ") &amp; TEXT(INT((ABS(-77.40111)- INT(ABS(-77.40111)))*60), "0' ") &amp; TEXT(((((ABS(-77.40111)-INT(ABS(-77.40111)))*60)- INT((ABS(-77.40111) - INT(ABS(-77.40111)))*60))*60), " 0''")</f>
        <v>-77°c c24  4</v>
      </c>
    </row>
    <row r="45" spans="1:10">
      <c r="A45" t="s">
        <v>10</v>
      </c>
      <c r="B45" s="2">
        <v>1200</v>
      </c>
      <c r="C45" t="s">
        <v>11</v>
      </c>
      <c r="D45" t="s">
        <v>153</v>
      </c>
      <c r="E45" t="s">
        <v>154</v>
      </c>
      <c r="F45" t="s">
        <v>80</v>
      </c>
      <c r="G45" t="s">
        <v>81</v>
      </c>
      <c r="H45" s="3">
        <v>39815.438888888886</v>
      </c>
      <c r="I45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45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46" spans="1:10">
      <c r="A46" t="s">
        <v>10</v>
      </c>
      <c r="B46" s="2">
        <v>1200</v>
      </c>
      <c r="C46" t="s">
        <v>11</v>
      </c>
      <c r="D46" t="s">
        <v>156</v>
      </c>
      <c r="E46" t="s">
        <v>157</v>
      </c>
      <c r="F46" t="s">
        <v>158</v>
      </c>
      <c r="G46" t="s">
        <v>159</v>
      </c>
      <c r="H46" s="3">
        <v>39815.4625</v>
      </c>
      <c r="I46" t="str">
        <f ca="1">TEXT(TRUNC(37.3772222), "0" &amp; CHAR(176) &amp; " ") &amp; TEXT(INT((ABS(37.3772222)- INT(ABS(37.3772222)))*60), "0' ") &amp; TEXT(((((ABS(37.3772222)-INT(ABS(37.3772222)))*60)- INT((ABS(37.3772222) - INT(ABS(37.3772222)))*60))*60), " 0''")</f>
        <v>37°c c22  38</v>
      </c>
      <c r="J46" t="str">
        <f ca="1">TEXT(TRUNC(-5.9869444), "0" &amp; CHAR(176) &amp; " ") &amp; TEXT(INT((ABS(-5.9869444)- INT(ABS(-5.9869444)))*60), "0' ") &amp; TEXT(((((ABS(-5.9869444)-INT(ABS(-5.9869444)))*60)- INT((ABS(-5.9869444) - INT(ABS(-5.9869444)))*60))*60), " 0''")</f>
        <v>-5°c c59  13</v>
      </c>
    </row>
    <row r="47" spans="1:10">
      <c r="A47" t="s">
        <v>10</v>
      </c>
      <c r="B47" s="2">
        <v>1200</v>
      </c>
      <c r="C47" t="s">
        <v>24</v>
      </c>
      <c r="D47" t="s">
        <v>160</v>
      </c>
      <c r="E47" t="s">
        <v>161</v>
      </c>
      <c r="F47" t="s">
        <v>162</v>
      </c>
      <c r="G47" t="s">
        <v>15</v>
      </c>
      <c r="H47" s="3">
        <v>39815.486805555556</v>
      </c>
      <c r="I47" t="str">
        <f ca="1">TEXT(TRUNC(42.46444), "0" &amp; CHAR(176) &amp; " ") &amp; TEXT(INT((ABS(42.46444)- INT(ABS(42.46444)))*60), "0' ") &amp; TEXT(((((ABS(42.46444)-INT(ABS(42.46444)))*60)- INT((ABS(42.46444) - INT(ABS(42.46444)))*60))*60), " 0''")</f>
        <v>42°c c27  52</v>
      </c>
      <c r="J47" t="str">
        <f ca="1">TEXT(TRUNC(-83.37639), "0" &amp; CHAR(176) &amp; " ") &amp; TEXT(INT((ABS(-83.37639)- INT(ABS(-83.37639)))*60), "0' ") &amp; TEXT(((((ABS(-83.37639)-INT(ABS(-83.37639)))*60)- INT((ABS(-83.37639) - INT(ABS(-83.37639)))*60))*60), " 0''")</f>
        <v>-83°c c22  35</v>
      </c>
    </row>
    <row r="48" spans="1:10">
      <c r="A48" t="s">
        <v>10</v>
      </c>
      <c r="B48" s="2">
        <v>1200</v>
      </c>
      <c r="C48" t="s">
        <v>11</v>
      </c>
      <c r="D48" t="s">
        <v>163</v>
      </c>
      <c r="E48" t="s">
        <v>164</v>
      </c>
      <c r="F48" t="s">
        <v>90</v>
      </c>
      <c r="G48" t="s">
        <v>15</v>
      </c>
      <c r="H48" s="3">
        <v>39815.511111111111</v>
      </c>
      <c r="I48" t="str">
        <f ca="1">TEXT(TRUNC(38.62444), "0" &amp; CHAR(176) &amp; " ") &amp; TEXT(INT((ABS(38.62444)- INT(ABS(38.62444)))*60), "0' ") &amp; TEXT(((((ABS(38.62444)-INT(ABS(38.62444)))*60)- INT((ABS(38.62444) - INT(ABS(38.62444)))*60))*60), " 0''")</f>
        <v>38°c c37  28</v>
      </c>
      <c r="J48" t="str">
        <f ca="1">TEXT(TRUNC(-76.93944), "0" &amp; CHAR(176) &amp; " ") &amp; TEXT(INT((ABS(-76.93944)- INT(ABS(-76.93944)))*60), "0' ") &amp; TEXT(((((ABS(-76.93944)-INT(ABS(-76.93944)))*60)- INT((ABS(-76.93944) - INT(ABS(-76.93944)))*60))*60), " 0''")</f>
        <v>-76°c c56  22</v>
      </c>
    </row>
    <row r="49" spans="1:10">
      <c r="A49" t="s">
        <v>10</v>
      </c>
      <c r="B49" s="2">
        <v>1200</v>
      </c>
      <c r="C49" t="s">
        <v>24</v>
      </c>
      <c r="D49" t="s">
        <v>165</v>
      </c>
      <c r="E49" t="s">
        <v>166</v>
      </c>
      <c r="F49" t="s">
        <v>167</v>
      </c>
      <c r="G49" t="s">
        <v>19</v>
      </c>
      <c r="H49" s="3">
        <v>39815.5125</v>
      </c>
      <c r="I49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49" t="str">
        <f ca="1">TEXT(TRUNC(11.15), "0" &amp; CHAR(176) &amp; " ") &amp; TEXT(INT((ABS(11.15)- INT(ABS(11.15)))*60), "0' ") &amp; TEXT(((((ABS(11.15)-INT(ABS(11.15)))*60)- INT((ABS(11.15) - INT(ABS(11.15)))*60))*60), " 0''")</f>
        <v>11°c c9  0</v>
      </c>
    </row>
    <row r="50" spans="1:10">
      <c r="A50" t="s">
        <v>10</v>
      </c>
      <c r="B50" s="2">
        <v>1200</v>
      </c>
      <c r="C50" t="s">
        <v>11</v>
      </c>
      <c r="D50" t="s">
        <v>168</v>
      </c>
      <c r="E50" t="s">
        <v>169</v>
      </c>
      <c r="F50" t="s">
        <v>170</v>
      </c>
      <c r="G50" t="s">
        <v>15</v>
      </c>
      <c r="H50" s="3">
        <v>39815.547222222223</v>
      </c>
      <c r="I50" t="str">
        <f ca="1">TEXT(TRUNC(46.18806), "0" &amp; CHAR(176) &amp; " ") &amp; TEXT(INT((ABS(46.18806)- INT(ABS(46.18806)))*60), "0' ") &amp; TEXT(((((ABS(46.18806)-INT(ABS(46.18806)))*60)- INT((ABS(46.18806) - INT(ABS(46.18806)))*60))*60), " 0''")</f>
        <v>46°c c11  17</v>
      </c>
      <c r="J50" t="str">
        <f ca="1">TEXT(TRUNC(-123.83), "0" &amp; CHAR(176) &amp; " ") &amp; TEXT(INT((ABS(-123.83)- INT(ABS(-123.83)))*60), "0' ") &amp; TEXT(((((ABS(-123.83)-INT(ABS(-123.83)))*60)- INT((ABS(-123.83) - INT(ABS(-123.83)))*60))*60), " 0''")</f>
        <v>-123°c c49  48</v>
      </c>
    </row>
    <row r="51" spans="1:10">
      <c r="A51" t="s">
        <v>10</v>
      </c>
      <c r="B51" s="2">
        <v>1200</v>
      </c>
      <c r="C51" t="s">
        <v>24</v>
      </c>
      <c r="D51" t="s">
        <v>171</v>
      </c>
      <c r="E51" t="s">
        <v>172</v>
      </c>
      <c r="F51" t="s">
        <v>173</v>
      </c>
      <c r="G51" t="s">
        <v>174</v>
      </c>
      <c r="H51" s="3">
        <v>39815.565972222219</v>
      </c>
      <c r="I51" t="str">
        <f ca="1">TEXT(TRUNC(43.5833333), "0" &amp; CHAR(176) &amp; " ") &amp; TEXT(INT((ABS(43.5833333)- INT(ABS(43.5833333)))*60), "0' ") &amp; TEXT(((((ABS(43.5833333)-INT(ABS(43.5833333)))*60)- INT((ABS(43.5833333) - INT(ABS(43.5833333)))*60))*60), " 0''")</f>
        <v>43°c c34  60</v>
      </c>
      <c r="J51" t="str">
        <f ca="1">TEXT(TRUNC(7.1166667), "0" &amp; CHAR(176) &amp; " ") &amp; TEXT(INT((ABS(7.1166667)- INT(ABS(7.1166667)))*60), "0' ") &amp; TEXT(((((ABS(7.1166667)-INT(ABS(7.1166667)))*60)- INT((ABS(7.1166667) - INT(ABS(7.1166667)))*60))*60), " 0''")</f>
        <v>7°c c7  0</v>
      </c>
    </row>
    <row r="52" spans="1:10">
      <c r="A52" t="s">
        <v>10</v>
      </c>
      <c r="B52" s="2">
        <v>1200</v>
      </c>
      <c r="C52" t="s">
        <v>50</v>
      </c>
      <c r="D52" t="s">
        <v>175</v>
      </c>
      <c r="E52" t="s">
        <v>176</v>
      </c>
      <c r="F52" t="s">
        <v>53</v>
      </c>
      <c r="G52" t="s">
        <v>54</v>
      </c>
      <c r="H52" s="3">
        <v>39815.593055555553</v>
      </c>
      <c r="I52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52" t="str">
        <f ca="1">TEXT(TRUNC(-1), "0" &amp; CHAR(176) &amp; " ") &amp; TEXT(INT((ABS(-1)- INT(ABS(-1)))*60), "0' ") &amp; TEXT(((((ABS(-1)-INT(ABS(-1)))*60)- INT((ABS(-1) - INT(ABS(-1)))*60))*60), " 0''")</f>
        <v>-1°c c0  0</v>
      </c>
    </row>
    <row r="53" spans="1:10">
      <c r="A53" t="s">
        <v>10</v>
      </c>
      <c r="B53" s="2">
        <v>1200</v>
      </c>
      <c r="C53" t="s">
        <v>24</v>
      </c>
      <c r="D53" t="s">
        <v>177</v>
      </c>
      <c r="E53" t="s">
        <v>178</v>
      </c>
      <c r="F53" t="s">
        <v>179</v>
      </c>
      <c r="G53" t="s">
        <v>15</v>
      </c>
      <c r="H53" s="3">
        <v>39815.595833333333</v>
      </c>
      <c r="I53" t="str">
        <f ca="1">TEXT(TRUNC(40.03222), "0" &amp; CHAR(176) &amp; " ") &amp; TEXT(INT((ABS(40.03222)- INT(ABS(40.03222)))*60), "0' ") &amp; TEXT(((((ABS(40.03222)-INT(ABS(40.03222)))*60)- INT((ABS(40.03222) - INT(ABS(40.03222)))*60))*60), " 0''")</f>
        <v>40°c c1  56</v>
      </c>
      <c r="J53" t="str">
        <f ca="1">TEXT(TRUNC(-74.95778), "0" &amp; CHAR(176) &amp; " ") &amp; TEXT(INT((ABS(-74.95778)- INT(ABS(-74.95778)))*60), "0' ") &amp; TEXT(((((ABS(-74.95778)-INT(ABS(-74.95778)))*60)- INT((ABS(-74.95778) - INT(ABS(-74.95778)))*60))*60), " 0''")</f>
        <v>-74°c c57  28</v>
      </c>
    </row>
    <row r="54" spans="1:10">
      <c r="A54" t="s">
        <v>10</v>
      </c>
      <c r="B54" s="2">
        <v>1200</v>
      </c>
      <c r="C54" t="s">
        <v>24</v>
      </c>
      <c r="D54" t="s">
        <v>180</v>
      </c>
      <c r="E54" t="s">
        <v>64</v>
      </c>
      <c r="F54" t="s">
        <v>64</v>
      </c>
      <c r="G54" t="s">
        <v>65</v>
      </c>
      <c r="H54" s="3">
        <v>39815.634027777778</v>
      </c>
      <c r="I54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54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55" spans="1:10">
      <c r="A55" t="s">
        <v>10</v>
      </c>
      <c r="B55" s="2">
        <v>1200</v>
      </c>
      <c r="C55" t="s">
        <v>50</v>
      </c>
      <c r="D55" t="s">
        <v>181</v>
      </c>
      <c r="E55" t="s">
        <v>182</v>
      </c>
      <c r="F55" t="s">
        <v>53</v>
      </c>
      <c r="G55" t="s">
        <v>54</v>
      </c>
      <c r="H55" s="3">
        <v>39815.6375</v>
      </c>
      <c r="I55" t="str">
        <f ca="1">TEXT(TRUNC(52.0166667), "0" &amp; CHAR(176) &amp; " ") &amp; TEXT(INT((ABS(52.0166667)- INT(ABS(52.0166667)))*60), "0' ") &amp; TEXT(((((ABS(52.0166667)-INT(ABS(52.0166667)))*60)- INT((ABS(52.0166667) - INT(ABS(52.0166667)))*60))*60), " 0''")</f>
        <v>52°c c1  0</v>
      </c>
      <c r="J55" t="str">
        <f ca="1">TEXT(TRUNC(0.25), "0" &amp; CHAR(176) &amp; " ") &amp; TEXT(INT((ABS(0.25)- INT(ABS(0.25)))*60), "0' ") &amp; TEXT(((((ABS(0.25)-INT(ABS(0.25)))*60)- INT((ABS(0.25) - INT(ABS(0.25)))*60))*60), " 0''")</f>
        <v>0°c c15  0</v>
      </c>
    </row>
    <row r="56" spans="1:10">
      <c r="A56" t="s">
        <v>10</v>
      </c>
      <c r="B56" s="2">
        <v>1200</v>
      </c>
      <c r="C56" t="s">
        <v>50</v>
      </c>
      <c r="D56" t="s">
        <v>183</v>
      </c>
      <c r="E56" t="s">
        <v>184</v>
      </c>
      <c r="F56" t="s">
        <v>179</v>
      </c>
      <c r="G56" t="s">
        <v>15</v>
      </c>
      <c r="H56" s="3">
        <v>39815.664583333331</v>
      </c>
      <c r="I56" t="str">
        <f ca="1">TEXT(TRUNC(40.95583), "0" &amp; CHAR(176) &amp; " ") &amp; TEXT(INT((ABS(40.95583)- INT(ABS(40.95583)))*60), "0' ") &amp; TEXT(((((ABS(40.95583)-INT(ABS(40.95583)))*60)- INT((ABS(40.95583) - INT(ABS(40.95583)))*60))*60), " 0''")</f>
        <v>40°c c57  21</v>
      </c>
      <c r="J56" t="str">
        <f ca="1">TEXT(TRUNC(-73.93167), "0" &amp; CHAR(176) &amp; " ") &amp; TEXT(INT((ABS(-73.93167)- INT(ABS(-73.93167)))*60), "0' ") &amp; TEXT(((((ABS(-73.93167)-INT(ABS(-73.93167)))*60)- INT((ABS(-73.93167) - INT(ABS(-73.93167)))*60))*60), " 0''")</f>
        <v>-73°c c55  54</v>
      </c>
    </row>
    <row r="57" spans="1:10">
      <c r="A57" t="s">
        <v>10</v>
      </c>
      <c r="B57" s="2">
        <v>1200</v>
      </c>
      <c r="C57" t="s">
        <v>11</v>
      </c>
      <c r="D57" t="s">
        <v>188</v>
      </c>
      <c r="E57" t="s">
        <v>189</v>
      </c>
      <c r="F57" t="s">
        <v>190</v>
      </c>
      <c r="G57" t="s">
        <v>15</v>
      </c>
      <c r="H57" s="3">
        <v>39815.739583333336</v>
      </c>
      <c r="I57" t="str">
        <f ca="1">TEXT(TRUNC(42.39583), "0" &amp; CHAR(176) &amp; " ") &amp; TEXT(INT((ABS(42.39583)- INT(ABS(42.39583)))*60), "0' ") &amp; TEXT(((((ABS(42.39583)-INT(ABS(42.39583)))*60)- INT((ABS(42.39583) - INT(ABS(42.39583)))*60))*60), " 0''")</f>
        <v>42°c c23  45</v>
      </c>
      <c r="J57" t="str">
        <f ca="1">TEXT(TRUNC(-71.17917), "0" &amp; CHAR(176) &amp; " ") &amp; TEXT(INT((ABS(-71.17917)- INT(ABS(-71.17917)))*60), "0' ") &amp; TEXT(((((ABS(-71.17917)-INT(ABS(-71.17917)))*60)- INT((ABS(-71.17917) - INT(ABS(-71.17917)))*60))*60), " 0''")</f>
        <v>-71°c c10  45</v>
      </c>
    </row>
    <row r="58" spans="1:10">
      <c r="A58" t="s">
        <v>10</v>
      </c>
      <c r="B58" s="2">
        <v>1200</v>
      </c>
      <c r="C58" t="s">
        <v>24</v>
      </c>
      <c r="D58" t="s">
        <v>191</v>
      </c>
      <c r="E58" t="s">
        <v>192</v>
      </c>
      <c r="F58" t="s">
        <v>193</v>
      </c>
      <c r="G58" t="s">
        <v>15</v>
      </c>
      <c r="H58" s="3">
        <v>39815.77847222222</v>
      </c>
      <c r="I58" t="str">
        <f ca="1">TEXT(TRUNC(40.15722), "0" &amp; CHAR(176) &amp; " ") &amp; TEXT(INT((ABS(40.15722)- INT(ABS(40.15722)))*60), "0' ") &amp; TEXT(((((ABS(40.15722)-INT(ABS(40.15722)))*60)- INT((ABS(40.15722) - INT(ABS(40.15722)))*60))*60), " 0''")</f>
        <v>40°c c9  26</v>
      </c>
      <c r="J58" t="str">
        <f ca="1">TEXT(TRUNC(-76.30722), "0" &amp; CHAR(176) &amp; " ") &amp; TEXT(INT((ABS(-76.30722)- INT(ABS(-76.30722)))*60), "0' ") &amp; TEXT(((((ABS(-76.30722)-INT(ABS(-76.30722)))*60)- INT((ABS(-76.30722) - INT(ABS(-76.30722)))*60))*60), " 0''")</f>
        <v>-76°c c18  26</v>
      </c>
    </row>
    <row r="59" spans="1:10">
      <c r="A59" t="s">
        <v>10</v>
      </c>
      <c r="B59" s="2">
        <v>1200</v>
      </c>
      <c r="C59" t="s">
        <v>24</v>
      </c>
      <c r="D59" t="s">
        <v>194</v>
      </c>
      <c r="E59" t="s">
        <v>64</v>
      </c>
      <c r="F59" t="s">
        <v>64</v>
      </c>
      <c r="G59" t="s">
        <v>65</v>
      </c>
      <c r="H59" s="3">
        <v>39815.779861111114</v>
      </c>
      <c r="I59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59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60" spans="1:10">
      <c r="A60" t="s">
        <v>10</v>
      </c>
      <c r="B60" s="2">
        <v>1200</v>
      </c>
      <c r="C60" t="s">
        <v>11</v>
      </c>
      <c r="D60" t="s">
        <v>195</v>
      </c>
      <c r="E60" t="s">
        <v>196</v>
      </c>
      <c r="F60" t="s">
        <v>197</v>
      </c>
      <c r="G60" t="s">
        <v>15</v>
      </c>
      <c r="H60" s="3">
        <v>39815.7875</v>
      </c>
      <c r="I60" t="str">
        <f ca="1">TEXT(TRUNC(36.30472), "0" &amp; CHAR(176) &amp; " ") &amp; TEXT(INT((ABS(36.30472)- INT(ABS(36.30472)))*60), "0' ") &amp; TEXT(((((ABS(36.30472)-INT(ABS(36.30472)))*60)- INT((ABS(36.30472) - INT(ABS(36.30472)))*60))*60), " 0''")</f>
        <v>36°c c18  17</v>
      </c>
      <c r="J60" t="str">
        <f ca="1">TEXT(TRUNC(-86.62), "0" &amp; CHAR(176) &amp; " ") &amp; TEXT(INT((ABS(-86.62)- INT(ABS(-86.62)))*60), "0' ") &amp; TEXT(((((ABS(-86.62)-INT(ABS(-86.62)))*60)- INT((ABS(-86.62) - INT(ABS(-86.62)))*60))*60), " 0''")</f>
        <v>-86°c c37  12</v>
      </c>
    </row>
    <row r="61" spans="1:10">
      <c r="A61" t="s">
        <v>10</v>
      </c>
      <c r="B61" s="2">
        <v>1200</v>
      </c>
      <c r="C61" t="s">
        <v>11</v>
      </c>
      <c r="D61" t="s">
        <v>198</v>
      </c>
      <c r="E61" t="s">
        <v>199</v>
      </c>
      <c r="F61" t="s">
        <v>197</v>
      </c>
      <c r="G61" t="s">
        <v>15</v>
      </c>
      <c r="H61" s="3">
        <v>39815.839583333334</v>
      </c>
      <c r="I61" t="str">
        <f ca="1">TEXT(TRUNC(36.34333), "0" &amp; CHAR(176) &amp; " ") &amp; TEXT(INT((ABS(36.34333)- INT(ABS(36.34333)))*60), "0' ") &amp; TEXT(((((ABS(36.34333)-INT(ABS(36.34333)))*60)- INT((ABS(36.34333) - INT(ABS(36.34333)))*60))*60), " 0''")</f>
        <v>36°c c20  36</v>
      </c>
      <c r="J61" t="str">
        <f ca="1">TEXT(TRUNC(-88.85028), "0" &amp; CHAR(176) &amp; " ") &amp; TEXT(INT((ABS(-88.85028)- INT(ABS(-88.85028)))*60), "0' ") &amp; TEXT(((((ABS(-88.85028)-INT(ABS(-88.85028)))*60)- INT((ABS(-88.85028) - INT(ABS(-88.85028)))*60))*60), " 0''")</f>
        <v>-88°c c51  1</v>
      </c>
    </row>
    <row r="62" spans="1:10">
      <c r="A62" t="s">
        <v>10</v>
      </c>
      <c r="B62" s="2">
        <v>1200</v>
      </c>
      <c r="C62" t="s">
        <v>24</v>
      </c>
      <c r="D62" t="s">
        <v>200</v>
      </c>
      <c r="E62" t="s">
        <v>201</v>
      </c>
      <c r="F62" t="s">
        <v>27</v>
      </c>
      <c r="G62" t="s">
        <v>15</v>
      </c>
      <c r="H62" s="3">
        <v>39815.865972222222</v>
      </c>
      <c r="I62" t="str">
        <f ca="1">TEXT(TRUNC(33.01444), "0" &amp; CHAR(176) &amp; " ") &amp; TEXT(INT((ABS(33.01444)- INT(ABS(33.01444)))*60), "0' ") &amp; TEXT(((((ABS(33.01444)-INT(ABS(33.01444)))*60)- INT((ABS(33.01444) - INT(ABS(33.01444)))*60))*60), " 0''")</f>
        <v>33°c c0  52</v>
      </c>
      <c r="J62" t="str">
        <f ca="1">TEXT(TRUNC(-97.09667), "0" &amp; CHAR(176) &amp; " ") &amp; TEXT(INT((ABS(-97.09667)- INT(ABS(-97.09667)))*60), "0' ") &amp; TEXT(((((ABS(-97.09667)-INT(ABS(-97.09667)))*60)- INT((ABS(-97.09667) - INT(ABS(-97.09667)))*60))*60), " 0''")</f>
        <v>-97°c c5  48</v>
      </c>
    </row>
    <row r="63" spans="1:10">
      <c r="A63" t="s">
        <v>10</v>
      </c>
      <c r="B63" s="2">
        <v>1200</v>
      </c>
      <c r="C63" t="s">
        <v>50</v>
      </c>
      <c r="D63" t="s">
        <v>202</v>
      </c>
      <c r="E63" t="s">
        <v>203</v>
      </c>
      <c r="F63" t="s">
        <v>197</v>
      </c>
      <c r="G63" t="s">
        <v>15</v>
      </c>
      <c r="H63" s="3">
        <v>39815.916666666664</v>
      </c>
      <c r="I63" t="str">
        <f ca="1">TEXT(TRUNC(35.14944), "0" &amp; CHAR(176) &amp; " ") &amp; TEXT(INT((ABS(35.14944)- INT(ABS(35.14944)))*60), "0' ") &amp; TEXT(((((ABS(35.14944)-INT(ABS(35.14944)))*60)- INT((ABS(35.14944) - INT(ABS(35.14944)))*60))*60), " 0''")</f>
        <v>35°c c8  58</v>
      </c>
      <c r="J63" t="str">
        <f ca="1">TEXT(TRUNC(-90.04889), "0" &amp; CHAR(176) &amp; " ") &amp; TEXT(INT((ABS(-90.04889)- INT(ABS(-90.04889)))*60), "0' ") &amp; TEXT(((((ABS(-90.04889)-INT(ABS(-90.04889)))*60)- INT((ABS(-90.04889) - INT(ABS(-90.04889)))*60))*60), " 0''")</f>
        <v>-90°c c2  56</v>
      </c>
    </row>
    <row r="64" spans="1:10">
      <c r="A64" t="s">
        <v>10</v>
      </c>
      <c r="B64" s="2">
        <v>1200</v>
      </c>
      <c r="C64" t="s">
        <v>11</v>
      </c>
      <c r="D64" t="s">
        <v>210</v>
      </c>
      <c r="E64" t="s">
        <v>211</v>
      </c>
      <c r="F64" t="s">
        <v>18</v>
      </c>
      <c r="G64" t="s">
        <v>19</v>
      </c>
      <c r="H64" s="3">
        <v>39816.331944444442</v>
      </c>
      <c r="I64" t="str">
        <f ca="1">TEXT(TRUNC(55.7333333), "0" &amp; CHAR(176) &amp; " ") &amp; TEXT(INT((ABS(55.7333333)- INT(ABS(55.7333333)))*60), "0' ") &amp; TEXT(((((ABS(55.7333333)-INT(ABS(55.7333333)))*60)- INT((ABS(55.7333333) - INT(ABS(55.7333333)))*60))*60), " 0''")</f>
        <v>55°c c43  60</v>
      </c>
      <c r="J6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65" spans="1:10">
      <c r="A65" t="s">
        <v>10</v>
      </c>
      <c r="B65" s="2">
        <v>1200</v>
      </c>
      <c r="C65" t="s">
        <v>24</v>
      </c>
      <c r="D65" t="s">
        <v>212</v>
      </c>
      <c r="E65" t="s">
        <v>213</v>
      </c>
      <c r="F65" t="s">
        <v>53</v>
      </c>
      <c r="G65" t="s">
        <v>54</v>
      </c>
      <c r="H65" s="3">
        <v>39816.353472222225</v>
      </c>
      <c r="I65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65" t="str">
        <f ca="1">TEXT(TRUNC(-0.7), "0" &amp; CHAR(176) &amp; " ") &amp; TEXT(INT((ABS(-0.7)- INT(ABS(-0.7)))*60), "0' ") &amp; TEXT(((((ABS(-0.7)-INT(ABS(-0.7)))*60)- INT((ABS(-0.7) - INT(ABS(-0.7)))*60))*60), " 0''")</f>
        <v>0°c c42  0</v>
      </c>
    </row>
    <row r="66" spans="1:10">
      <c r="A66" t="s">
        <v>10</v>
      </c>
      <c r="B66" s="2">
        <v>1200</v>
      </c>
      <c r="C66" t="s">
        <v>50</v>
      </c>
      <c r="D66" t="s">
        <v>214</v>
      </c>
      <c r="E66" t="s">
        <v>215</v>
      </c>
      <c r="F66" t="s">
        <v>14</v>
      </c>
      <c r="G66" t="s">
        <v>15</v>
      </c>
      <c r="H66" s="3">
        <v>39816.377083333333</v>
      </c>
      <c r="I66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66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67" spans="1:10">
      <c r="A67" t="s">
        <v>10</v>
      </c>
      <c r="B67" s="2">
        <v>1200</v>
      </c>
      <c r="C67" t="s">
        <v>24</v>
      </c>
      <c r="D67" t="s">
        <v>216</v>
      </c>
      <c r="E67" t="s">
        <v>217</v>
      </c>
      <c r="F67" t="s">
        <v>105</v>
      </c>
      <c r="G67" t="s">
        <v>106</v>
      </c>
      <c r="H67" s="3">
        <v>39816.4125</v>
      </c>
      <c r="I67" t="str">
        <f ca="1">TEXT(TRUNC(41.1980556), "0" &amp; CHAR(176) &amp; " ") &amp; TEXT(INT((ABS(41.1980556)- INT(ABS(41.1980556)))*60), "0' ") &amp; TEXT(((((ABS(41.1980556)-INT(ABS(41.1980556)))*60)- INT((ABS(41.1980556) - INT(ABS(41.1980556)))*60))*60), " 0''")</f>
        <v>41°c c11  53</v>
      </c>
      <c r="J67" t="str">
        <f ca="1">TEXT(TRUNC(29.0302778), "0" &amp; CHAR(176) &amp; " ") &amp; TEXT(INT((ABS(29.0302778)- INT(ABS(29.0302778)))*60), "0' ") &amp; TEXT(((((ABS(29.0302778)-INT(ABS(29.0302778)))*60)- INT((ABS(29.0302778) - INT(ABS(29.0302778)))*60))*60), " 0''")</f>
        <v>29°c c1  49</v>
      </c>
    </row>
    <row r="68" spans="1:10">
      <c r="A68" t="s">
        <v>10</v>
      </c>
      <c r="B68" s="2">
        <v>1200</v>
      </c>
      <c r="C68" t="s">
        <v>24</v>
      </c>
      <c r="D68" t="s">
        <v>218</v>
      </c>
      <c r="E68" t="s">
        <v>149</v>
      </c>
      <c r="F68" t="s">
        <v>98</v>
      </c>
      <c r="G68" t="s">
        <v>15</v>
      </c>
      <c r="H68" s="3">
        <v>39816.413888888892</v>
      </c>
      <c r="I68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68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69" spans="1:10">
      <c r="A69" t="s">
        <v>10</v>
      </c>
      <c r="B69" s="2">
        <v>1200</v>
      </c>
      <c r="C69" t="s">
        <v>24</v>
      </c>
      <c r="D69" t="s">
        <v>219</v>
      </c>
      <c r="E69" t="s">
        <v>220</v>
      </c>
      <c r="F69" t="s">
        <v>152</v>
      </c>
      <c r="G69" t="s">
        <v>15</v>
      </c>
      <c r="H69" s="3">
        <v>39816.415277777778</v>
      </c>
      <c r="I69" t="str">
        <f ca="1">TEXT(TRUNC(38.79556), "0" &amp; CHAR(176) &amp; " ") &amp; TEXT(INT((ABS(38.79556)- INT(ABS(38.79556)))*60), "0' ") &amp; TEXT(((((ABS(38.79556)-INT(ABS(38.79556)))*60)- INT((ABS(38.79556) - INT(ABS(38.79556)))*60))*60), " 0''")</f>
        <v>38°c c47  44</v>
      </c>
      <c r="J69" t="str">
        <f ca="1">TEXT(TRUNC(-77.61417), "0" &amp; CHAR(176) &amp; " ") &amp; TEXT(INT((ABS(-77.61417)- INT(ABS(-77.61417)))*60), "0' ") &amp; TEXT(((((ABS(-77.61417)-INT(ABS(-77.61417)))*60)- INT((ABS(-77.61417) - INT(ABS(-77.61417)))*60))*60), " 0''")</f>
        <v>-77°c c36  51</v>
      </c>
    </row>
    <row r="70" spans="1:10">
      <c r="A70" t="s">
        <v>10</v>
      </c>
      <c r="B70" s="2">
        <v>1200</v>
      </c>
      <c r="C70" t="s">
        <v>24</v>
      </c>
      <c r="D70" t="s">
        <v>223</v>
      </c>
      <c r="E70" t="s">
        <v>89</v>
      </c>
      <c r="F70" t="s">
        <v>90</v>
      </c>
      <c r="G70" t="s">
        <v>15</v>
      </c>
      <c r="H70" s="3">
        <v>39816.452777777777</v>
      </c>
      <c r="I70" t="str">
        <f ca="1">TEXT(TRUNC(39.01806), "0" &amp; CHAR(176) &amp; " ") &amp; TEXT(INT((ABS(39.01806)- INT(ABS(39.01806)))*60), "0' ") &amp; TEXT(((((ABS(39.01806)-INT(ABS(39.01806)))*60)- INT((ABS(39.01806) - INT(ABS(39.01806)))*60))*60), " 0''")</f>
        <v>39°c c1  5</v>
      </c>
      <c r="J70" t="str">
        <f ca="1">TEXT(TRUNC(-77.20889), "0" &amp; CHAR(176) &amp; " ") &amp; TEXT(INT((ABS(-77.20889)- INT(ABS(-77.20889)))*60), "0' ") &amp; TEXT(((((ABS(-77.20889)-INT(ABS(-77.20889)))*60)- INT((ABS(-77.20889) - INT(ABS(-77.20889)))*60))*60), " 0''")</f>
        <v>-77°c c12  32</v>
      </c>
    </row>
    <row r="71" spans="1:10">
      <c r="A71" t="s">
        <v>10</v>
      </c>
      <c r="B71" s="2">
        <v>1200</v>
      </c>
      <c r="C71" t="s">
        <v>11</v>
      </c>
      <c r="D71" t="s">
        <v>224</v>
      </c>
      <c r="E71" t="s">
        <v>225</v>
      </c>
      <c r="F71" t="s">
        <v>68</v>
      </c>
      <c r="G71" t="s">
        <v>15</v>
      </c>
      <c r="H71" s="3">
        <v>39816.460416666669</v>
      </c>
      <c r="I71" t="str">
        <f ca="1">TEXT(TRUNC(47.64194), "0" &amp; CHAR(176) &amp; " ") &amp; TEXT(INT((ABS(47.64194)- INT(ABS(47.64194)))*60), "0' ") &amp; TEXT(((((ABS(47.64194)-INT(ABS(47.64194)))*60)- INT((ABS(47.64194) - INT(ABS(47.64194)))*60))*60), " 0''")</f>
        <v>47°c c38  31</v>
      </c>
      <c r="J71" t="str">
        <f ca="1">TEXT(TRUNC(-122.07917), "0" &amp; CHAR(176) &amp; " ") &amp; TEXT(INT((ABS(-122.07917)- INT(ABS(-122.07917)))*60), "0' ") &amp; TEXT(((((ABS(-122.07917)-INT(ABS(-122.07917)))*60)- INT((ABS(-122.07917) - INT(ABS(-122.07917)))*60))*60), " 0''")</f>
        <v>-122°c c4  45</v>
      </c>
    </row>
    <row r="72" spans="1:10">
      <c r="A72" t="s">
        <v>10</v>
      </c>
      <c r="B72" s="2">
        <v>1200</v>
      </c>
      <c r="C72" t="s">
        <v>33</v>
      </c>
      <c r="D72" t="s">
        <v>226</v>
      </c>
      <c r="E72" t="s">
        <v>227</v>
      </c>
      <c r="F72" t="s">
        <v>228</v>
      </c>
      <c r="G72" t="s">
        <v>15</v>
      </c>
      <c r="H72" s="3">
        <v>39816.463888888888</v>
      </c>
      <c r="I72" t="str">
        <f ca="1">TEXT(TRUNC(33.61167), "0" &amp; CHAR(176) &amp; " ") &amp; TEXT(INT((ABS(33.61167)- INT(ABS(33.61167)))*60), "0' ") &amp; TEXT(((((ABS(33.61167)-INT(ABS(33.61167)))*60)- INT((ABS(33.61167) - INT(ABS(33.61167)))*60))*60), " 0''")</f>
        <v>33°c c36  42</v>
      </c>
      <c r="J72" t="str">
        <f ca="1">TEXT(TRUNC(-111.71667), "0" &amp; CHAR(176) &amp; " ") &amp; TEXT(INT((ABS(-111.71667)- INT(ABS(-111.71667)))*60), "0' ") &amp; TEXT(((((ABS(-111.71667)-INT(ABS(-111.71667)))*60)- INT((ABS(-111.71667) - INT(ABS(-111.71667)))*60))*60), " 0''")</f>
        <v>-111°c c43  0</v>
      </c>
    </row>
    <row r="73" spans="1:10">
      <c r="A73" t="s">
        <v>10</v>
      </c>
      <c r="B73" s="2">
        <v>1200</v>
      </c>
      <c r="C73" t="s">
        <v>50</v>
      </c>
      <c r="D73" t="s">
        <v>229</v>
      </c>
      <c r="E73" t="s">
        <v>230</v>
      </c>
      <c r="F73" t="s">
        <v>57</v>
      </c>
      <c r="G73" t="s">
        <v>15</v>
      </c>
      <c r="H73" s="3">
        <v>39816.5375</v>
      </c>
      <c r="I73" t="str">
        <f ca="1">TEXT(TRUNC(34.18083), "0" &amp; CHAR(176) &amp; " ") &amp; TEXT(INT((ABS(34.18083)- INT(ABS(34.18083)))*60), "0' ") &amp; TEXT(((((ABS(34.18083)-INT(ABS(34.18083)))*60)- INT((ABS(34.18083) - INT(ABS(34.18083)))*60))*60), " 0''")</f>
        <v>34°c c10  51</v>
      </c>
      <c r="J73" t="str">
        <f ca="1">TEXT(TRUNC(-118.30806), "0" &amp; CHAR(176) &amp; " ") &amp; TEXT(INT((ABS(-118.30806)- INT(ABS(-118.30806)))*60), "0' ") &amp; TEXT(((((ABS(-118.30806)-INT(ABS(-118.30806)))*60)- INT((ABS(-118.30806) - INT(ABS(-118.30806)))*60))*60), " 0''")</f>
        <v>-118°c c18  29</v>
      </c>
    </row>
    <row r="74" spans="1:10">
      <c r="A74" t="s">
        <v>10</v>
      </c>
      <c r="B74" s="2">
        <v>1200</v>
      </c>
      <c r="C74" t="s">
        <v>11</v>
      </c>
      <c r="D74" t="s">
        <v>231</v>
      </c>
      <c r="E74" t="s">
        <v>18</v>
      </c>
      <c r="F74" t="s">
        <v>18</v>
      </c>
      <c r="G74" t="s">
        <v>19</v>
      </c>
      <c r="H74" s="3">
        <v>39816.549305555556</v>
      </c>
      <c r="I74" t="str">
        <f ca="1">TEXT(TRUNC(55.6666667), "0" &amp; CHAR(176) &amp; " ") &amp; TEXT(INT((ABS(55.6666667)- INT(ABS(55.6666667)))*60), "0' ") &amp; TEXT(((((ABS(55.6666667)-INT(ABS(55.6666667)))*60)- INT((ABS(55.6666667) - INT(ABS(55.6666667)))*60))*60), " 0''")</f>
        <v>55°c c40  0</v>
      </c>
      <c r="J7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75" spans="1:10">
      <c r="A75" t="s">
        <v>10</v>
      </c>
      <c r="B75" s="2">
        <v>1200</v>
      </c>
      <c r="C75" t="s">
        <v>24</v>
      </c>
      <c r="D75" t="s">
        <v>232</v>
      </c>
      <c r="E75" t="s">
        <v>233</v>
      </c>
      <c r="F75" t="s">
        <v>234</v>
      </c>
      <c r="G75" t="s">
        <v>19</v>
      </c>
      <c r="H75" s="3">
        <v>39816.558333333334</v>
      </c>
      <c r="I75" t="str">
        <f ca="1">TEXT(TRUNC(56.0333333), "0" &amp; CHAR(176) &amp; " ") &amp; TEXT(INT((ABS(56.0333333)- INT(ABS(56.0333333)))*60), "0' ") &amp; TEXT(((((ABS(56.0333333)-INT(ABS(56.0333333)))*60)- INT((ABS(56.0333333) - INT(ABS(56.0333333)))*60))*60), " 0''")</f>
        <v>56°c c1  60</v>
      </c>
      <c r="J75" t="str">
        <f ca="1">TEXT(TRUNC(12.6166667), "0" &amp; CHAR(176) &amp; " ") &amp; TEXT(INT((ABS(12.6166667)- INT(ABS(12.6166667)))*60), "0' ") &amp; TEXT(((((ABS(12.6166667)-INT(ABS(12.6166667)))*60)- INT((ABS(12.6166667) - INT(ABS(12.6166667)))*60))*60), " 0''")</f>
        <v>12°c c37  0</v>
      </c>
    </row>
    <row r="76" spans="1:10">
      <c r="A76" t="s">
        <v>10</v>
      </c>
      <c r="B76" s="2">
        <v>1200</v>
      </c>
      <c r="C76" t="s">
        <v>11</v>
      </c>
      <c r="D76" t="s">
        <v>235</v>
      </c>
      <c r="E76" t="s">
        <v>236</v>
      </c>
      <c r="F76" t="s">
        <v>237</v>
      </c>
      <c r="G76" t="s">
        <v>75</v>
      </c>
      <c r="H76" s="3">
        <v>39816.565972222219</v>
      </c>
      <c r="I76" t="str">
        <f ca="1">TEXT(TRUNC(46.4833333), "0" &amp; CHAR(176) &amp; " ") &amp; TEXT(INT((ABS(46.4833333)- INT(ABS(46.4833333)))*60), "0' ") &amp; TEXT(((((ABS(46.4833333)-INT(ABS(46.4833333)))*60)- INT((ABS(46.4833333) - INT(ABS(46.4833333)))*60))*60), " 0''")</f>
        <v>46°c c28  60</v>
      </c>
      <c r="J76" t="str">
        <f ca="1">TEXT(TRUNC(6.4), "0" &amp; CHAR(176) &amp; " ") &amp; TEXT(INT((ABS(6.4)- INT(ABS(6.4)))*60), "0' ") &amp; TEXT(((((ABS(6.4)-INT(ABS(6.4)))*60)- INT((ABS(6.4) - INT(ABS(6.4)))*60))*60), " 0''")</f>
        <v>6°c c24  0</v>
      </c>
    </row>
    <row r="77" spans="1:10">
      <c r="A77" t="s">
        <v>10</v>
      </c>
      <c r="B77" s="2">
        <v>1200</v>
      </c>
      <c r="C77" t="s">
        <v>11</v>
      </c>
      <c r="D77" t="s">
        <v>238</v>
      </c>
      <c r="E77" t="s">
        <v>239</v>
      </c>
      <c r="F77" t="s">
        <v>64</v>
      </c>
      <c r="G77" t="s">
        <v>65</v>
      </c>
      <c r="H77" s="3">
        <v>39816.571527777778</v>
      </c>
      <c r="I77" t="str">
        <f ca="1">TEXT(TRUNC(52.2166667), "0" &amp; CHAR(176) &amp; " ") &amp; TEXT(INT((ABS(52.2166667)- INT(ABS(52.2166667)))*60), "0' ") &amp; TEXT(((((ABS(52.2166667)-INT(ABS(52.2166667)))*60)- INT((ABS(52.2166667) - INT(ABS(52.2166667)))*60))*60), " 0''")</f>
        <v>52°c c13  0</v>
      </c>
      <c r="J77" t="str">
        <f ca="1">TEXT(TRUNC(-9), "0" &amp; CHAR(176) &amp; " ") &amp; TEXT(INT((ABS(-9)- INT(ABS(-9)))*60), "0' ") &amp; TEXT(((((ABS(-9)-INT(ABS(-9)))*60)- INT((ABS(-9) - INT(ABS(-9)))*60))*60), " 0''")</f>
        <v>-9°c c0  0</v>
      </c>
    </row>
    <row r="78" spans="1:10">
      <c r="A78" t="s">
        <v>10</v>
      </c>
      <c r="B78" s="2">
        <v>1200</v>
      </c>
      <c r="C78" t="s">
        <v>24</v>
      </c>
      <c r="D78" t="s">
        <v>240</v>
      </c>
      <c r="E78" t="s">
        <v>241</v>
      </c>
      <c r="F78" t="s">
        <v>45</v>
      </c>
      <c r="G78" t="s">
        <v>15</v>
      </c>
      <c r="H78" s="3">
        <v>39816.580555555556</v>
      </c>
      <c r="I78" t="str">
        <f ca="1">TEXT(TRUNC(30.66944), "0" &amp; CHAR(176) &amp; " ") &amp; TEXT(INT((ABS(30.66944)- INT(ABS(30.66944)))*60), "0' ") &amp; TEXT(((((ABS(30.66944)-INT(ABS(30.66944)))*60)- INT((ABS(30.66944) - INT(ABS(30.66944)))*60))*60), " 0''")</f>
        <v>30°c c40  10</v>
      </c>
      <c r="J78" t="str">
        <f ca="1">TEXT(TRUNC(-81.46278), "0" &amp; CHAR(176) &amp; " ") &amp; TEXT(INT((ABS(-81.46278)- INT(ABS(-81.46278)))*60), "0' ") &amp; TEXT(((((ABS(-81.46278)-INT(ABS(-81.46278)))*60)- INT((ABS(-81.46278) - INT(ABS(-81.46278)))*60))*60), " 0''")</f>
        <v>-81°c c27  46</v>
      </c>
    </row>
    <row r="79" spans="1:10">
      <c r="A79" t="s">
        <v>10</v>
      </c>
      <c r="B79" s="2">
        <v>1200</v>
      </c>
      <c r="C79" t="s">
        <v>24</v>
      </c>
      <c r="D79" t="s">
        <v>242</v>
      </c>
      <c r="E79" t="s">
        <v>243</v>
      </c>
      <c r="F79" t="s">
        <v>244</v>
      </c>
      <c r="G79" t="s">
        <v>15</v>
      </c>
      <c r="H79" s="3">
        <v>39816.593055555553</v>
      </c>
      <c r="I79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79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80" spans="1:10">
      <c r="A80" t="s">
        <v>10</v>
      </c>
      <c r="B80" s="2">
        <v>1200</v>
      </c>
      <c r="C80" t="s">
        <v>24</v>
      </c>
      <c r="D80" t="s">
        <v>248</v>
      </c>
      <c r="E80" t="s">
        <v>249</v>
      </c>
      <c r="F80" t="s">
        <v>48</v>
      </c>
      <c r="G80" t="s">
        <v>49</v>
      </c>
      <c r="H80" s="3">
        <v>39816.613888888889</v>
      </c>
      <c r="I80" t="str">
        <f ca="1">TEXT(TRUNC(-36.1333333), "0" &amp; CHAR(176) &amp; " ") &amp; TEXT(INT((ABS(-36.1333333)- INT(ABS(-36.1333333)))*60), "0' ") &amp; TEXT(((((ABS(-36.1333333)-INT(ABS(-36.1333333)))*60)- INT((ABS(-36.1333333) - INT(ABS(-36.1333333)))*60))*60), " 0''")</f>
        <v>-36°c c7  60</v>
      </c>
      <c r="J80" t="str">
        <f ca="1">TEXT(TRUNC(144.75), "0" &amp; CHAR(176) &amp; " ") &amp; TEXT(INT((ABS(144.75)- INT(ABS(144.75)))*60), "0' ") &amp; TEXT(((((ABS(144.75)-INT(ABS(144.75)))*60)- INT((ABS(144.75) - INT(ABS(144.75)))*60))*60), " 0''")</f>
        <v>144°c c45  0</v>
      </c>
    </row>
    <row r="81" spans="1:10">
      <c r="A81" t="s">
        <v>10</v>
      </c>
      <c r="B81" s="2">
        <v>1200</v>
      </c>
      <c r="C81" t="s">
        <v>11</v>
      </c>
      <c r="D81" t="s">
        <v>250</v>
      </c>
      <c r="E81" t="s">
        <v>251</v>
      </c>
      <c r="F81" t="s">
        <v>252</v>
      </c>
      <c r="G81" t="s">
        <v>81</v>
      </c>
      <c r="H81" s="3">
        <v>39816.640277777777</v>
      </c>
      <c r="I81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81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82" spans="1:10">
      <c r="A82" t="s">
        <v>10</v>
      </c>
      <c r="B82" s="2">
        <v>1200</v>
      </c>
      <c r="C82" t="s">
        <v>24</v>
      </c>
      <c r="D82" t="s">
        <v>253</v>
      </c>
      <c r="E82" t="s">
        <v>254</v>
      </c>
      <c r="F82" t="s">
        <v>57</v>
      </c>
      <c r="G82" t="s">
        <v>15</v>
      </c>
      <c r="H82" s="3">
        <v>39816.705555555556</v>
      </c>
      <c r="I82" t="str">
        <f ca="1">TEXT(TRUNC(34.13611), "0" &amp; CHAR(176) &amp; " ") &amp; TEXT(INT((ABS(34.13611)- INT(ABS(34.13611)))*60), "0' ") &amp; TEXT(((((ABS(34.13611)-INT(ABS(34.13611)))*60)- INT((ABS(34.13611) - INT(ABS(34.13611)))*60))*60), " 0''")</f>
        <v>34°c c8  10</v>
      </c>
      <c r="J82" t="str">
        <f ca="1">TEXT(TRUNC(-117.86444), "0" &amp; CHAR(176) &amp; " ") &amp; TEXT(INT((ABS(-117.86444)- INT(ABS(-117.86444)))*60), "0' ") &amp; TEXT(((((ABS(-117.86444)-INT(ABS(-117.86444)))*60)- INT((ABS(-117.86444) - INT(ABS(-117.86444)))*60))*60), " 0''")</f>
        <v>-117°c c51  52</v>
      </c>
    </row>
    <row r="83" spans="1:10">
      <c r="A83" t="s">
        <v>10</v>
      </c>
      <c r="B83" s="2">
        <v>1200</v>
      </c>
      <c r="C83" t="s">
        <v>24</v>
      </c>
      <c r="D83" t="s">
        <v>255</v>
      </c>
      <c r="E83" t="s">
        <v>256</v>
      </c>
      <c r="F83" t="s">
        <v>95</v>
      </c>
      <c r="G83" t="s">
        <v>81</v>
      </c>
      <c r="H83" s="3">
        <v>39816.779861111114</v>
      </c>
      <c r="I83" t="str">
        <f ca="1">TEXT(TRUNC(45.0166667), "0" &amp; CHAR(176) &amp; " ") &amp; TEXT(INT((ABS(45.0166667)- INT(ABS(45.0166667)))*60), "0' ") &amp; TEXT(((((ABS(45.0166667)-INT(ABS(45.0166667)))*60)- INT((ABS(45.0166667) - INT(ABS(45.0166667)))*60))*60), " 0''")</f>
        <v>45°c c1  0</v>
      </c>
      <c r="J83" t="str">
        <f ca="1">TEXT(TRUNC(-74.7333333), "0" &amp; CHAR(176) &amp; " ") &amp; TEXT(INT((ABS(-74.7333333)- INT(ABS(-74.7333333)))*60), "0' ") &amp; TEXT(((((ABS(-74.7333333)-INT(ABS(-74.7333333)))*60)- INT((ABS(-74.7333333) - INT(ABS(-74.7333333)))*60))*60), " 0''")</f>
        <v>-74°c c43  60</v>
      </c>
    </row>
    <row r="84" spans="1:10">
      <c r="A84" t="s">
        <v>10</v>
      </c>
      <c r="B84" s="2">
        <v>1200</v>
      </c>
      <c r="C84" t="s">
        <v>11</v>
      </c>
      <c r="D84" t="s">
        <v>257</v>
      </c>
      <c r="E84" t="s">
        <v>258</v>
      </c>
      <c r="F84" t="s">
        <v>259</v>
      </c>
      <c r="G84" t="s">
        <v>15</v>
      </c>
      <c r="H84" s="3">
        <v>39816.882638888892</v>
      </c>
      <c r="I84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84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85" spans="1:10">
      <c r="A85" t="s">
        <v>10</v>
      </c>
      <c r="B85" s="2">
        <v>1200</v>
      </c>
      <c r="C85" t="s">
        <v>24</v>
      </c>
      <c r="D85" t="s">
        <v>260</v>
      </c>
      <c r="E85" t="s">
        <v>261</v>
      </c>
      <c r="F85" t="s">
        <v>57</v>
      </c>
      <c r="G85" t="s">
        <v>15</v>
      </c>
      <c r="H85" s="3">
        <v>39816.888194444444</v>
      </c>
      <c r="I85" t="str">
        <f ca="1">TEXT(TRUNC(33.80056), "0" &amp; CHAR(176) &amp; " ") &amp; TEXT(INT((ABS(33.80056)- INT(ABS(33.80056)))*60), "0' ") &amp; TEXT(((((ABS(33.80056)-INT(ABS(33.80056)))*60)- INT((ABS(33.80056) - INT(ABS(33.80056)))*60))*60), " 0''")</f>
        <v>33°c c48  2</v>
      </c>
      <c r="J85" t="str">
        <f ca="1">TEXT(TRUNC(-118.38917), "0" &amp; CHAR(176) &amp; " ") &amp; TEXT(INT((ABS(-118.38917)- INT(ABS(-118.38917)))*60), "0' ") &amp; TEXT(((((ABS(-118.38917)-INT(ABS(-118.38917)))*60)- INT((ABS(-118.38917) - INT(ABS(-118.38917)))*60))*60), " 0''")</f>
        <v>-118°c c23  21</v>
      </c>
    </row>
    <row r="86" spans="1:10">
      <c r="A86" t="s">
        <v>10</v>
      </c>
      <c r="B86" s="2">
        <v>1200</v>
      </c>
      <c r="C86" t="s">
        <v>50</v>
      </c>
      <c r="D86" t="s">
        <v>262</v>
      </c>
      <c r="E86" t="s">
        <v>263</v>
      </c>
      <c r="F86" t="s">
        <v>264</v>
      </c>
      <c r="G86" t="s">
        <v>65</v>
      </c>
      <c r="H86" s="3">
        <v>39817.045138888891</v>
      </c>
      <c r="I86" t="str">
        <f ca="1">TEXT(TRUNC(53.6772222), "0" &amp; CHAR(176) &amp; " ") &amp; TEXT(INT((ABS(53.6772222)- INT(ABS(53.6772222)))*60), "0' ") &amp; TEXT(((((ABS(53.6772222)-INT(ABS(53.6772222)))*60)- INT((ABS(53.6772222) - INT(ABS(53.6772222)))*60))*60), " 0''")</f>
        <v>53°c c40  38</v>
      </c>
      <c r="J86" t="str">
        <f ca="1">TEXT(TRUNC(-6.3191667), "0" &amp; CHAR(176) &amp; " ") &amp; TEXT(INT((ABS(-6.3191667)- INT(ABS(-6.3191667)))*60), "0' ") &amp; TEXT(((((ABS(-6.3191667)-INT(ABS(-6.3191667)))*60)- INT((ABS(-6.3191667) - INT(ABS(-6.3191667)))*60))*60), " 0''")</f>
        <v>-6°c c19  9</v>
      </c>
    </row>
    <row r="87" spans="1:10">
      <c r="A87" t="s">
        <v>10</v>
      </c>
      <c r="B87" s="2">
        <v>1200</v>
      </c>
      <c r="C87" t="s">
        <v>33</v>
      </c>
      <c r="D87" t="s">
        <v>265</v>
      </c>
      <c r="E87" t="s">
        <v>266</v>
      </c>
      <c r="F87" t="s">
        <v>267</v>
      </c>
      <c r="G87" t="s">
        <v>49</v>
      </c>
      <c r="H87" s="3">
        <v>39817.068055555559</v>
      </c>
      <c r="I87" t="str">
        <f ca="1">TEXT(TRUNC(-32.95), "0" &amp; CHAR(176) &amp; " ") &amp; TEXT(INT((ABS(-32.95)- INT(ABS(-32.95)))*60), "0' ") &amp; TEXT(((((ABS(-32.95)-INT(ABS(-32.95)))*60)- INT((ABS(-32.95) - INT(ABS(-32.95)))*60))*60), " 0''")</f>
        <v>-32°c c57  0</v>
      </c>
      <c r="J87" t="str">
        <f ca="1">TEXT(TRUNC(151.6666667), "0" &amp; CHAR(176) &amp; " ") &amp; TEXT(INT((ABS(151.6666667)- INT(ABS(151.6666667)))*60), "0' ") &amp; TEXT(((((ABS(151.6666667)-INT(ABS(151.6666667)))*60)- INT((ABS(151.6666667) - INT(ABS(151.6666667)))*60))*60), " 0''")</f>
        <v>151°c c40  0</v>
      </c>
    </row>
    <row r="88" spans="1:10">
      <c r="A88" t="s">
        <v>10</v>
      </c>
      <c r="B88" s="2">
        <v>1200</v>
      </c>
      <c r="C88" t="s">
        <v>11</v>
      </c>
      <c r="D88" t="s">
        <v>268</v>
      </c>
      <c r="E88" t="s">
        <v>269</v>
      </c>
      <c r="F88" t="s">
        <v>270</v>
      </c>
      <c r="G88" t="s">
        <v>31</v>
      </c>
      <c r="H88" s="3">
        <v>39817.15347222222</v>
      </c>
      <c r="I8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8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89" spans="1:10">
      <c r="A89" t="s">
        <v>10</v>
      </c>
      <c r="B89" s="2">
        <v>1200</v>
      </c>
      <c r="C89" t="s">
        <v>11</v>
      </c>
      <c r="D89" t="s">
        <v>271</v>
      </c>
      <c r="E89" t="s">
        <v>272</v>
      </c>
      <c r="F89" t="s">
        <v>53</v>
      </c>
      <c r="G89" t="s">
        <v>54</v>
      </c>
      <c r="H89" s="3">
        <v>39817.170138888891</v>
      </c>
      <c r="I89" t="str">
        <f ca="1">TEXT(TRUNC(51.6666667), "0" &amp; CHAR(176) &amp; " ") &amp; TEXT(INT((ABS(51.6666667)- INT(ABS(51.6666667)))*60), "0' ") &amp; TEXT(((((ABS(51.6666667)-INT(ABS(51.6666667)))*60)- INT((ABS(51.6666667) - INT(ABS(51.6666667)))*60))*60), " 0''")</f>
        <v>51°c c40  0</v>
      </c>
      <c r="J89" t="str">
        <f ca="1">TEXT(TRUNC(-0.4), "0" &amp; CHAR(176) &amp; " ") &amp; TEXT(INT((ABS(-0.4)- INT(ABS(-0.4)))*60), "0' ") &amp; TEXT(((((ABS(-0.4)-INT(ABS(-0.4)))*60)- INT((ABS(-0.4) - INT(ABS(-0.4)))*60))*60), " 0''")</f>
        <v>0°c c24  0</v>
      </c>
    </row>
    <row r="90" spans="1:10">
      <c r="A90" t="s">
        <v>10</v>
      </c>
      <c r="B90" s="2">
        <v>1200</v>
      </c>
      <c r="C90" t="s">
        <v>24</v>
      </c>
      <c r="D90" t="s">
        <v>273</v>
      </c>
      <c r="E90" t="s">
        <v>274</v>
      </c>
      <c r="F90" t="s">
        <v>275</v>
      </c>
      <c r="G90" t="s">
        <v>276</v>
      </c>
      <c r="H90" s="3">
        <v>39817.216666666667</v>
      </c>
      <c r="I90" t="str">
        <f ca="1">TEXT(TRUNC(37.5333333), "0" &amp; CHAR(176) &amp; " ") &amp; TEXT(INT((ABS(37.5333333)- INT(ABS(37.5333333)))*60), "0' ") &amp; TEXT(((((ABS(37.5333333)-INT(ABS(37.5333333)))*60)- INT((ABS(37.5333333) - INT(ABS(37.5333333)))*60))*60), " 0''")</f>
        <v>37°c c31  60</v>
      </c>
      <c r="J90" t="str">
        <f ca="1">TEXT(TRUNC(127.1166667), "0" &amp; CHAR(176) &amp; " ") &amp; TEXT(INT((ABS(127.1166667)- INT(ABS(127.1166667)))*60), "0' ") &amp; TEXT(((((ABS(127.1166667)-INT(ABS(127.1166667)))*60)- INT((ABS(127.1166667) - INT(ABS(127.1166667)))*60))*60), " 0''")</f>
        <v>127°c c7  0</v>
      </c>
    </row>
    <row r="91" spans="1:10">
      <c r="A91" t="s">
        <v>10</v>
      </c>
      <c r="B91" s="2">
        <v>1200</v>
      </c>
      <c r="C91" t="s">
        <v>24</v>
      </c>
      <c r="D91" t="s">
        <v>277</v>
      </c>
      <c r="E91" t="s">
        <v>278</v>
      </c>
      <c r="F91" t="s">
        <v>279</v>
      </c>
      <c r="G91" t="s">
        <v>280</v>
      </c>
      <c r="H91" s="3">
        <v>39817.217361111114</v>
      </c>
      <c r="I91" t="str">
        <f ca="1">TEXT(TRUNC(50.2116667), "0" &amp; CHAR(176) &amp; " ") &amp; TEXT(INT((ABS(50.2116667)- INT(ABS(50.2116667)))*60), "0' ") &amp; TEXT(((((ABS(50.2116667)-INT(ABS(50.2116667)))*60)- INT((ABS(50.2116667) - INT(ABS(50.2116667)))*60))*60), " 0''")</f>
        <v>50°c c12  42</v>
      </c>
      <c r="J91" t="str">
        <f ca="1">TEXT(TRUNC(15.8441667), "0" &amp; CHAR(176) &amp; " ") &amp; TEXT(INT((ABS(15.8441667)- INT(ABS(15.8441667)))*60), "0' ") &amp; TEXT(((((ABS(15.8441667)-INT(ABS(15.8441667)))*60)- INT((ABS(15.8441667) - INT(ABS(15.8441667)))*60))*60), " 0''")</f>
        <v>15°c c50  39</v>
      </c>
    </row>
    <row r="92" spans="1:10">
      <c r="A92" t="s">
        <v>10</v>
      </c>
      <c r="B92" s="2">
        <v>1200</v>
      </c>
      <c r="C92" t="s">
        <v>24</v>
      </c>
      <c r="D92" t="s">
        <v>281</v>
      </c>
      <c r="E92" t="s">
        <v>282</v>
      </c>
      <c r="F92" t="s">
        <v>283</v>
      </c>
      <c r="G92" t="s">
        <v>65</v>
      </c>
      <c r="H92" s="3">
        <v>39817.285416666666</v>
      </c>
      <c r="I92" t="str">
        <f ca="1">TEXT(TRUNC(53.5333333), "0" &amp; CHAR(176) &amp; " ") &amp; TEXT(INT((ABS(53.5333333)- INT(ABS(53.5333333)))*60), "0' ") &amp; TEXT(((((ABS(53.5333333)-INT(ABS(53.5333333)))*60)- INT((ABS(53.5333333) - INT(ABS(53.5333333)))*60))*60), " 0''")</f>
        <v>53°c c31  60</v>
      </c>
      <c r="J92" t="str">
        <f ca="1">TEXT(TRUNC(-7.35), "0" &amp; CHAR(176) &amp; " ") &amp; TEXT(INT((ABS(-7.35)- INT(ABS(-7.35)))*60), "0' ") &amp; TEXT(((((ABS(-7.35)-INT(ABS(-7.35)))*60)- INT((ABS(-7.35) - INT(ABS(-7.35)))*60))*60), " 0''")</f>
        <v>-7°c c21  0</v>
      </c>
    </row>
    <row r="93" spans="1:10">
      <c r="A93" t="s">
        <v>10</v>
      </c>
      <c r="B93" s="2">
        <v>1200</v>
      </c>
      <c r="C93" t="s">
        <v>11</v>
      </c>
      <c r="D93" t="s">
        <v>284</v>
      </c>
      <c r="E93" t="s">
        <v>285</v>
      </c>
      <c r="F93" t="s">
        <v>27</v>
      </c>
      <c r="G93" t="s">
        <v>15</v>
      </c>
      <c r="H93" s="3">
        <v>39817.321527777778</v>
      </c>
      <c r="I93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93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94" spans="1:10">
      <c r="A94" t="s">
        <v>10</v>
      </c>
      <c r="B94" s="2">
        <v>1200</v>
      </c>
      <c r="C94" t="s">
        <v>24</v>
      </c>
      <c r="D94" t="s">
        <v>286</v>
      </c>
      <c r="E94" t="s">
        <v>287</v>
      </c>
      <c r="F94" t="s">
        <v>95</v>
      </c>
      <c r="G94" t="s">
        <v>81</v>
      </c>
      <c r="H94" s="3">
        <v>39817.32916666667</v>
      </c>
      <c r="I94" t="str">
        <f ca="1">TEXT(TRUNC(44.15), "0" &amp; CHAR(176) &amp; " ") &amp; TEXT(INT((ABS(44.15)- INT(ABS(44.15)))*60), "0' ") &amp; TEXT(((((ABS(44.15)-INT(ABS(44.15)))*60)- INT((ABS(44.15) - INT(ABS(44.15)))*60))*60), " 0''")</f>
        <v>44°c c8  60</v>
      </c>
      <c r="J94" t="str">
        <f ca="1">TEXT(TRUNC(-79.8666667), "0" &amp; CHAR(176) &amp; " ") &amp; TEXT(INT((ABS(-79.8666667)- INT(ABS(-79.8666667)))*60), "0' ") &amp; TEXT(((((ABS(-79.8666667)-INT(ABS(-79.8666667)))*60)- INT((ABS(-79.8666667) - INT(ABS(-79.8666667)))*60))*60), " 0''")</f>
        <v>-79°c c52  0</v>
      </c>
    </row>
    <row r="95" spans="1:10">
      <c r="A95" t="s">
        <v>10</v>
      </c>
      <c r="B95" s="2">
        <v>1200</v>
      </c>
      <c r="C95" t="s">
        <v>24</v>
      </c>
      <c r="D95" t="s">
        <v>291</v>
      </c>
      <c r="E95" t="s">
        <v>100</v>
      </c>
      <c r="F95" t="s">
        <v>80</v>
      </c>
      <c r="G95" t="s">
        <v>81</v>
      </c>
      <c r="H95" s="3">
        <v>39817.376388888886</v>
      </c>
      <c r="I9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9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96" spans="1:10">
      <c r="A96" t="s">
        <v>10</v>
      </c>
      <c r="B96" s="2">
        <v>1200</v>
      </c>
      <c r="C96" t="s">
        <v>24</v>
      </c>
      <c r="D96" t="s">
        <v>292</v>
      </c>
      <c r="E96" t="s">
        <v>293</v>
      </c>
      <c r="F96" t="s">
        <v>53</v>
      </c>
      <c r="G96" t="s">
        <v>54</v>
      </c>
      <c r="H96" s="3">
        <v>39817.394444444442</v>
      </c>
      <c r="I96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96" t="str">
        <f ca="1">TEXT(TRUNC(0.5166667), "0" &amp; CHAR(176) &amp; " ") &amp; TEXT(INT((ABS(0.5166667)- INT(ABS(0.5166667)))*60), "0' ") &amp; TEXT(((((ABS(0.5166667)-INT(ABS(0.5166667)))*60)- INT((ABS(0.5166667) - INT(ABS(0.5166667)))*60))*60), " 0''")</f>
        <v>0°c c31  0</v>
      </c>
    </row>
    <row r="97" spans="1:10">
      <c r="A97" t="s">
        <v>10</v>
      </c>
      <c r="B97" s="2">
        <v>1200</v>
      </c>
      <c r="C97" t="s">
        <v>11</v>
      </c>
      <c r="D97" t="s">
        <v>294</v>
      </c>
      <c r="E97" t="s">
        <v>295</v>
      </c>
      <c r="F97" t="s">
        <v>27</v>
      </c>
      <c r="G97" t="s">
        <v>15</v>
      </c>
      <c r="H97" s="3">
        <v>39817.4125</v>
      </c>
      <c r="I97" t="str">
        <f ca="1">TEXT(TRUNC(30.15778), "0" &amp; CHAR(176) &amp; " ") &amp; TEXT(INT((ABS(30.15778)- INT(ABS(30.15778)))*60), "0' ") &amp; TEXT(((((ABS(30.15778)-INT(ABS(30.15778)))*60)- INT((ABS(30.15778) - INT(ABS(30.15778)))*60))*60), " 0''")</f>
        <v>30°c c9  28</v>
      </c>
      <c r="J97" t="str">
        <f ca="1">TEXT(TRUNC(-95.48917), "0" &amp; CHAR(176) &amp; " ") &amp; TEXT(INT((ABS(-95.48917)- INT(ABS(-95.48917)))*60), "0' ") &amp; TEXT(((((ABS(-95.48917)-INT(ABS(-95.48917)))*60)- INT((ABS(-95.48917) - INT(ABS(-95.48917)))*60))*60), " 0''")</f>
        <v>-95°c c29  21</v>
      </c>
    </row>
    <row r="98" spans="1:10">
      <c r="A98" t="s">
        <v>10</v>
      </c>
      <c r="B98" s="2">
        <v>1200</v>
      </c>
      <c r="C98" t="s">
        <v>11</v>
      </c>
      <c r="D98" t="s">
        <v>296</v>
      </c>
      <c r="E98" t="s">
        <v>297</v>
      </c>
      <c r="F98" t="s">
        <v>297</v>
      </c>
      <c r="G98" t="s">
        <v>23</v>
      </c>
      <c r="H98" s="3">
        <v>39817.427777777775</v>
      </c>
      <c r="I98" t="str">
        <f ca="1">TEXT(TRUNC(52.5166667), "0" &amp; CHAR(176) &amp; " ") &amp; TEXT(INT((ABS(52.5166667)- INT(ABS(52.5166667)))*60), "0' ") &amp; TEXT(((((ABS(52.5166667)-INT(ABS(52.5166667)))*60)- INT((ABS(52.5166667) - INT(ABS(52.5166667)))*60))*60), " 0''")</f>
        <v>52°c c31  0</v>
      </c>
      <c r="J98" t="str">
        <f ca="1">TEXT(TRUNC(13.4), "0" &amp; CHAR(176) &amp; " ") &amp; TEXT(INT((ABS(13.4)- INT(ABS(13.4)))*60), "0' ") &amp; TEXT(((((ABS(13.4)-INT(ABS(13.4)))*60)- INT((ABS(13.4) - INT(ABS(13.4)))*60))*60), " 0''")</f>
        <v>13°c c24  0</v>
      </c>
    </row>
    <row r="99" spans="1:10">
      <c r="A99" t="s">
        <v>10</v>
      </c>
      <c r="B99" s="2">
        <v>1200</v>
      </c>
      <c r="C99" t="s">
        <v>11</v>
      </c>
      <c r="D99" t="s">
        <v>298</v>
      </c>
      <c r="E99" t="s">
        <v>299</v>
      </c>
      <c r="F99" t="s">
        <v>45</v>
      </c>
      <c r="G99" t="s">
        <v>15</v>
      </c>
      <c r="H99" s="3">
        <v>39817.429166666669</v>
      </c>
      <c r="I99" t="str">
        <f ca="1">TEXT(TRUNC(26.14167), "0" &amp; CHAR(176) &amp; " ") &amp; TEXT(INT((ABS(26.14167)- INT(ABS(26.14167)))*60), "0' ") &amp; TEXT(((((ABS(26.14167)-INT(ABS(26.14167)))*60)- INT((ABS(26.14167) - INT(ABS(26.14167)))*60))*60), " 0''")</f>
        <v>26°c c8  30</v>
      </c>
      <c r="J99" t="str">
        <f ca="1">TEXT(TRUNC(-81.795), "0" &amp; CHAR(176) &amp; " ") &amp; TEXT(INT((ABS(-81.795)- INT(ABS(-81.795)))*60), "0' ") &amp; TEXT(((((ABS(-81.795)-INT(ABS(-81.795)))*60)- INT((ABS(-81.795) - INT(ABS(-81.795)))*60))*60), " 0''")</f>
        <v>-81°c c47  42</v>
      </c>
    </row>
    <row r="100" spans="1:10">
      <c r="A100" t="s">
        <v>10</v>
      </c>
      <c r="B100" s="2">
        <v>1200</v>
      </c>
      <c r="C100" t="s">
        <v>50</v>
      </c>
      <c r="D100" t="s">
        <v>300</v>
      </c>
      <c r="E100" t="s">
        <v>301</v>
      </c>
      <c r="F100" t="s">
        <v>252</v>
      </c>
      <c r="G100" t="s">
        <v>81</v>
      </c>
      <c r="H100" s="3">
        <v>39817.447222222225</v>
      </c>
      <c r="I100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00" t="str">
        <f ca="1">TEXT(TRUNC(-122.95), "0" &amp; CHAR(176) &amp; " ") &amp; TEXT(INT((ABS(-122.95)- INT(ABS(-122.95)))*60), "0' ") &amp; TEXT(((((ABS(-122.95)-INT(ABS(-122.95)))*60)- INT((ABS(-122.95) - INT(ABS(-122.95)))*60))*60), " 0''")</f>
        <v>-122°c c57  0</v>
      </c>
    </row>
    <row r="101" spans="1:10">
      <c r="A101" t="s">
        <v>10</v>
      </c>
      <c r="B101" s="2">
        <v>1200</v>
      </c>
      <c r="C101" t="s">
        <v>50</v>
      </c>
      <c r="D101" t="s">
        <v>302</v>
      </c>
      <c r="E101" t="s">
        <v>303</v>
      </c>
      <c r="F101" t="s">
        <v>304</v>
      </c>
      <c r="G101" t="s">
        <v>81</v>
      </c>
      <c r="H101" s="3">
        <v>39817.53402777778</v>
      </c>
      <c r="I101" t="str">
        <f ca="1">TEXT(TRUNC(45.5), "0" &amp; CHAR(176) &amp; " ") &amp; TEXT(INT((ABS(45.5)- INT(ABS(45.5)))*60), "0' ") &amp; TEXT(((((ABS(45.5)-INT(ABS(45.5)))*60)- INT((ABS(45.5) - INT(ABS(45.5)))*60))*60), " 0''")</f>
        <v>45°c c30  0</v>
      </c>
      <c r="J101" t="str">
        <f ca="1">TEXT(TRUNC(-73.5833333), "0" &amp; CHAR(176) &amp; " ") &amp; TEXT(INT((ABS(-73.5833333)- INT(ABS(-73.5833333)))*60), "0' ") &amp; TEXT(((((ABS(-73.5833333)-INT(ABS(-73.5833333)))*60)- INT((ABS(-73.5833333) - INT(ABS(-73.5833333)))*60))*60), " 0''")</f>
        <v>-73°c c34  60</v>
      </c>
    </row>
    <row r="102" spans="1:10">
      <c r="A102" t="s">
        <v>10</v>
      </c>
      <c r="B102" s="2">
        <v>1200</v>
      </c>
      <c r="C102" t="s">
        <v>50</v>
      </c>
      <c r="D102" t="s">
        <v>305</v>
      </c>
      <c r="E102" t="s">
        <v>306</v>
      </c>
      <c r="F102" t="s">
        <v>53</v>
      </c>
      <c r="G102" t="s">
        <v>54</v>
      </c>
      <c r="H102" s="3">
        <v>39817.536805555559</v>
      </c>
      <c r="I102" t="str">
        <f ca="1">TEXT(TRUNC(52.3), "0" &amp; CHAR(176) &amp; " ") &amp; TEXT(INT((ABS(52.3)- INT(ABS(52.3)))*60), "0' ") &amp; TEXT(((((ABS(52.3)-INT(ABS(52.3)))*60)- INT((ABS(52.3) - INT(ABS(52.3)))*60))*60), " 0''")</f>
        <v>52°c c17  60</v>
      </c>
      <c r="J102" t="str">
        <f ca="1">TEXT(TRUNC(-1.5333333), "0" &amp; CHAR(176) &amp; " ") &amp; TEXT(INT((ABS(-1.5333333)- INT(ABS(-1.5333333)))*60), "0' ") &amp; TEXT(((((ABS(-1.5333333)-INT(ABS(-1.5333333)))*60)- INT((ABS(-1.5333333) - INT(ABS(-1.5333333)))*60))*60), " 0''")</f>
        <v>-1°c c31  60</v>
      </c>
    </row>
    <row r="103" spans="1:10">
      <c r="A103" t="s">
        <v>10</v>
      </c>
      <c r="B103" s="2">
        <v>1200</v>
      </c>
      <c r="C103" t="s">
        <v>11</v>
      </c>
      <c r="D103" t="s">
        <v>310</v>
      </c>
      <c r="E103" t="s">
        <v>311</v>
      </c>
      <c r="F103" t="s">
        <v>311</v>
      </c>
      <c r="G103" t="s">
        <v>312</v>
      </c>
      <c r="H103" s="3">
        <v>39817.553472222222</v>
      </c>
      <c r="I103" t="str">
        <f ca="1">TEXT(TRUNC(32.0666667), "0" &amp; CHAR(176) &amp; " ") &amp; TEXT(INT((ABS(32.0666667)- INT(ABS(32.0666667)))*60), "0' ") &amp; TEXT(((((ABS(32.0666667)-INT(ABS(32.0666667)))*60)- INT((ABS(32.0666667) - INT(ABS(32.0666667)))*60))*60), " 0''")</f>
        <v>32°c c4  0</v>
      </c>
      <c r="J103" t="str">
        <f ca="1">TEXT(TRUNC(34.7666667), "0" &amp; CHAR(176) &amp; " ") &amp; TEXT(INT((ABS(34.7666667)- INT(ABS(34.7666667)))*60), "0' ") &amp; TEXT(((((ABS(34.7666667)-INT(ABS(34.7666667)))*60)- INT((ABS(34.7666667) - INT(ABS(34.7666667)))*60))*60), " 0''")</f>
        <v>34°c c46  0</v>
      </c>
    </row>
    <row r="104" spans="1:10">
      <c r="A104" t="s">
        <v>10</v>
      </c>
      <c r="B104" s="2">
        <v>1200</v>
      </c>
      <c r="C104" t="s">
        <v>24</v>
      </c>
      <c r="D104" t="s">
        <v>313</v>
      </c>
      <c r="E104" t="s">
        <v>314</v>
      </c>
      <c r="F104" t="s">
        <v>179</v>
      </c>
      <c r="G104" t="s">
        <v>15</v>
      </c>
      <c r="H104" s="3">
        <v>39817.554861111108</v>
      </c>
      <c r="I104" t="str">
        <f ca="1">TEXT(TRUNC(39.79), "0" &amp; CHAR(176) &amp; " ") &amp; TEXT(INT((ABS(39.79)- INT(ABS(39.79)))*60), "0' ") &amp; TEXT(((((ABS(39.79)-INT(ABS(39.79)))*60)- INT((ABS(39.79) - INT(ABS(39.79)))*60))*60), " 0''")</f>
        <v>39°c c47  24</v>
      </c>
      <c r="J104" t="str">
        <f ca="1">TEXT(TRUNC(-75.23806), "0" &amp; CHAR(176) &amp; " ") &amp; TEXT(INT((ABS(-75.23806)- INT(ABS(-75.23806)))*60), "0' ") &amp; TEXT(((((ABS(-75.23806)-INT(ABS(-75.23806)))*60)- INT((ABS(-75.23806) - INT(ABS(-75.23806)))*60))*60), " 0''")</f>
        <v>-75°c c14  17</v>
      </c>
    </row>
    <row r="105" spans="1:10">
      <c r="A105" t="s">
        <v>10</v>
      </c>
      <c r="B105" s="2">
        <v>1200</v>
      </c>
      <c r="C105" t="s">
        <v>11</v>
      </c>
      <c r="D105" t="s">
        <v>315</v>
      </c>
      <c r="E105" t="s">
        <v>316</v>
      </c>
      <c r="F105" t="s">
        <v>259</v>
      </c>
      <c r="G105" t="s">
        <v>15</v>
      </c>
      <c r="H105" s="3">
        <v>39817.555555555555</v>
      </c>
      <c r="I105" t="str">
        <f ca="1">TEXT(TRUNC(39.97778), "0" &amp; CHAR(176) &amp; " ") &amp; TEXT(INT((ABS(39.97778)- INT(ABS(39.97778)))*60), "0' ") &amp; TEXT(((((ABS(39.97778)-INT(ABS(39.97778)))*60)- INT((ABS(39.97778) - INT(ABS(39.97778)))*60))*60), " 0''")</f>
        <v>39°c c58  40</v>
      </c>
      <c r="J105" t="str">
        <f ca="1">TEXT(TRUNC(-105.13139), "0" &amp; CHAR(176) &amp; " ") &amp; TEXT(INT((ABS(-105.13139)- INT(ABS(-105.13139)))*60), "0' ") &amp; TEXT(((((ABS(-105.13139)-INT(ABS(-105.13139)))*60)- INT((ABS(-105.13139) - INT(ABS(-105.13139)))*60))*60), " 0''")</f>
        <v>-105°c c7  53</v>
      </c>
    </row>
    <row r="106" spans="1:10">
      <c r="A106" t="s">
        <v>10</v>
      </c>
      <c r="B106" s="2">
        <v>1200</v>
      </c>
      <c r="C106" t="s">
        <v>11</v>
      </c>
      <c r="D106" t="s">
        <v>317</v>
      </c>
      <c r="E106" t="s">
        <v>318</v>
      </c>
      <c r="F106" t="s">
        <v>53</v>
      </c>
      <c r="G106" t="s">
        <v>54</v>
      </c>
      <c r="H106" s="3">
        <v>39817.580555555556</v>
      </c>
      <c r="I106" t="str">
        <f ca="1">TEXT(TRUNC(51.1166667), "0" &amp; CHAR(176) &amp; " ") &amp; TEXT(INT((ABS(51.1166667)- INT(ABS(51.1166667)))*60), "0' ") &amp; TEXT(((((ABS(51.1166667)-INT(ABS(51.1166667)))*60)- INT((ABS(51.1166667) - INT(ABS(51.1166667)))*60))*60), " 0''")</f>
        <v>51°c c7  0</v>
      </c>
      <c r="J106" t="str">
        <f ca="1">TEXT(TRUNC(-0.8166667), "0" &amp; CHAR(176) &amp; " ") &amp; TEXT(INT((ABS(-0.8166667)- INT(ABS(-0.8166667)))*60), "0' ") &amp; TEXT(((((ABS(-0.8166667)-INT(ABS(-0.8166667)))*60)- INT((ABS(-0.8166667) - INT(ABS(-0.8166667)))*60))*60), " 0''")</f>
        <v>0°c c49  0</v>
      </c>
    </row>
    <row r="107" spans="1:10">
      <c r="A107" t="s">
        <v>10</v>
      </c>
      <c r="B107" s="2">
        <v>1200</v>
      </c>
      <c r="C107" t="s">
        <v>24</v>
      </c>
      <c r="D107" t="s">
        <v>319</v>
      </c>
      <c r="E107" t="s">
        <v>320</v>
      </c>
      <c r="F107" t="s">
        <v>190</v>
      </c>
      <c r="G107" t="s">
        <v>15</v>
      </c>
      <c r="H107" s="3">
        <v>39817.5875</v>
      </c>
      <c r="I107" t="str">
        <f ca="1">TEXT(TRUNC(41.64833), "0" &amp; CHAR(176) &amp; " ") &amp; TEXT(INT((ABS(41.64833)- INT(ABS(41.64833)))*60), "0' ") &amp; TEXT(((((ABS(41.64833)-INT(ABS(41.64833)))*60)- INT((ABS(41.64833) - INT(ABS(41.64833)))*60))*60), " 0''")</f>
        <v>41°c c38  54</v>
      </c>
      <c r="J107" t="str">
        <f ca="1">TEXT(TRUNC(-70.48167), "0" &amp; CHAR(176) &amp; " ") &amp; TEXT(INT((ABS(-70.48167)- INT(ABS(-70.48167)))*60), "0' ") &amp; TEXT(((((ABS(-70.48167)-INT(ABS(-70.48167)))*60)- INT((ABS(-70.48167) - INT(ABS(-70.48167)))*60))*60), " 0''")</f>
        <v>-70°c c28  54</v>
      </c>
    </row>
    <row r="108" spans="1:10">
      <c r="A108" t="s">
        <v>10</v>
      </c>
      <c r="B108" s="2">
        <v>1200</v>
      </c>
      <c r="C108" t="s">
        <v>24</v>
      </c>
      <c r="D108" t="s">
        <v>321</v>
      </c>
      <c r="E108" t="s">
        <v>322</v>
      </c>
      <c r="F108" t="s">
        <v>323</v>
      </c>
      <c r="G108" t="s">
        <v>174</v>
      </c>
      <c r="H108" s="3">
        <v>39817.59097222222</v>
      </c>
      <c r="I108" t="str">
        <f ca="1">TEXT(TRUNC(48.8833333), "0" &amp; CHAR(176) &amp; " ") &amp; TEXT(INT((ABS(48.8833333)- INT(ABS(48.8833333)))*60), "0' ") &amp; TEXT(((((ABS(48.8833333)-INT(ABS(48.8833333)))*60)- INT((ABS(48.8833333) - INT(ABS(48.8833333)))*60))*60), " 0''")</f>
        <v>48°c c52  60</v>
      </c>
      <c r="J108" t="str">
        <f ca="1">TEXT(TRUNC(2.15), "0" &amp; CHAR(176) &amp; " ") &amp; TEXT(INT((ABS(2.15)- INT(ABS(2.15)))*60), "0' ") &amp; TEXT(((((ABS(2.15)-INT(ABS(2.15)))*60)- INT((ABS(2.15) - INT(ABS(2.15)))*60))*60), " 0''")</f>
        <v>2°c c9  0</v>
      </c>
    </row>
    <row r="109" spans="1:10">
      <c r="A109" t="s">
        <v>10</v>
      </c>
      <c r="B109" s="2">
        <v>1200</v>
      </c>
      <c r="C109" t="s">
        <v>24</v>
      </c>
      <c r="D109" t="s">
        <v>324</v>
      </c>
      <c r="E109" t="s">
        <v>325</v>
      </c>
      <c r="F109" t="s">
        <v>326</v>
      </c>
      <c r="G109" t="s">
        <v>54</v>
      </c>
      <c r="H109" s="3">
        <v>39817.602083333331</v>
      </c>
      <c r="I109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109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110" spans="1:10">
      <c r="A110" t="s">
        <v>10</v>
      </c>
      <c r="B110" s="2">
        <v>1200</v>
      </c>
      <c r="C110" t="s">
        <v>24</v>
      </c>
      <c r="D110" t="s">
        <v>327</v>
      </c>
      <c r="E110" t="s">
        <v>328</v>
      </c>
      <c r="F110" t="s">
        <v>228</v>
      </c>
      <c r="G110" t="s">
        <v>15</v>
      </c>
      <c r="H110" s="3">
        <v>39817.682638888888</v>
      </c>
      <c r="I110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110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111" spans="1:10">
      <c r="A111" t="s">
        <v>10</v>
      </c>
      <c r="B111" s="2">
        <v>1200</v>
      </c>
      <c r="C111" t="s">
        <v>24</v>
      </c>
      <c r="D111" t="s">
        <v>329</v>
      </c>
      <c r="E111" t="s">
        <v>330</v>
      </c>
      <c r="F111" t="s">
        <v>267</v>
      </c>
      <c r="G111" t="s">
        <v>49</v>
      </c>
      <c r="H111" s="3">
        <v>39817.707638888889</v>
      </c>
      <c r="I111" t="str">
        <f ca="1">TEXT(TRUNC(-33.8166667), "0" &amp; CHAR(176) &amp; " ") &amp; TEXT(INT((ABS(-33.8166667)- INT(ABS(-33.8166667)))*60), "0' ") &amp; TEXT(((((ABS(-33.8166667)-INT(ABS(-33.8166667)))*60)- INT((ABS(-33.8166667) - INT(ABS(-33.8166667)))*60))*60), " 0''")</f>
        <v>-33°c c49  0</v>
      </c>
      <c r="J111" t="str">
        <f ca="1">TEXT(TRUNC(151), "0" &amp; CHAR(176) &amp; " ") &amp; TEXT(INT((ABS(151)- INT(ABS(151)))*60), "0' ") &amp; TEXT(((((ABS(151)-INT(ABS(151)))*60)- INT((ABS(151) - INT(ABS(151)))*60))*60), " 0''")</f>
        <v>151°c c0  0</v>
      </c>
    </row>
    <row r="112" spans="1:10">
      <c r="A112" t="s">
        <v>10</v>
      </c>
      <c r="B112" s="2">
        <v>1200</v>
      </c>
      <c r="C112" t="s">
        <v>11</v>
      </c>
      <c r="D112" t="s">
        <v>331</v>
      </c>
      <c r="E112" t="s">
        <v>332</v>
      </c>
      <c r="F112" t="s">
        <v>57</v>
      </c>
      <c r="G112" t="s">
        <v>15</v>
      </c>
      <c r="H112" s="3">
        <v>39817.709722222222</v>
      </c>
      <c r="I112" t="str">
        <f ca="1">TEXT(TRUNC(37.88583), "0" &amp; CHAR(176) &amp; " ") &amp; TEXT(INT((ABS(37.88583)- INT(ABS(37.88583)))*60), "0' ") &amp; TEXT(((((ABS(37.88583)-INT(ABS(37.88583)))*60)- INT((ABS(37.88583) - INT(ABS(37.88583)))*60))*60), " 0''")</f>
        <v>37°c c53  9</v>
      </c>
      <c r="J112" t="str">
        <f ca="1">TEXT(TRUNC(-122.11694), "0" &amp; CHAR(176) &amp; " ") &amp; TEXT(INT((ABS(-122.11694)- INT(ABS(-122.11694)))*60), "0' ") &amp; TEXT(((((ABS(-122.11694)-INT(ABS(-122.11694)))*60)- INT((ABS(-122.11694) - INT(ABS(-122.11694)))*60))*60), " 0''")</f>
        <v>-122°c c7  1</v>
      </c>
    </row>
    <row r="113" spans="1:10">
      <c r="A113" t="s">
        <v>10</v>
      </c>
      <c r="B113" s="2">
        <v>1200</v>
      </c>
      <c r="C113" t="s">
        <v>11</v>
      </c>
      <c r="D113" t="s">
        <v>333</v>
      </c>
      <c r="E113" t="s">
        <v>334</v>
      </c>
      <c r="F113" t="s">
        <v>187</v>
      </c>
      <c r="G113" t="s">
        <v>49</v>
      </c>
      <c r="H113" s="3">
        <v>39817.731944444444</v>
      </c>
      <c r="I113" t="str">
        <f ca="1">TEXT(TRUNC(-32.2833333), "0" &amp; CHAR(176) &amp; " ") &amp; TEXT(INT((ABS(-32.2833333)- INT(ABS(-32.2833333)))*60), "0' ") &amp; TEXT(((((ABS(-32.2833333)-INT(ABS(-32.2833333)))*60)- INT((ABS(-32.2833333) - INT(ABS(-32.2833333)))*60))*60), " 0''")</f>
        <v>-32°c c16  60</v>
      </c>
      <c r="J113" t="str">
        <f ca="1">TEXT(TRUNC(115.7166667), "0" &amp; CHAR(176) &amp; " ") &amp; TEXT(INT((ABS(115.7166667)- INT(ABS(115.7166667)))*60), "0' ") &amp; TEXT(((((ABS(115.7166667)-INT(ABS(115.7166667)))*60)- INT((ABS(115.7166667) - INT(ABS(115.7166667)))*60))*60), " 0''")</f>
        <v>115°c c43  0</v>
      </c>
    </row>
    <row r="114" spans="1:10">
      <c r="A114" t="s">
        <v>10</v>
      </c>
      <c r="B114" s="2">
        <v>1200</v>
      </c>
      <c r="C114" t="s">
        <v>33</v>
      </c>
      <c r="D114" t="s">
        <v>335</v>
      </c>
      <c r="E114" t="s">
        <v>336</v>
      </c>
      <c r="F114" t="s">
        <v>57</v>
      </c>
      <c r="G114" t="s">
        <v>15</v>
      </c>
      <c r="H114" s="3">
        <v>39817.745833333334</v>
      </c>
      <c r="I114" t="str">
        <f ca="1">TEXT(TRUNC(33.03694), "0" &amp; CHAR(176) &amp; " ") &amp; TEXT(INT((ABS(33.03694)- INT(ABS(33.03694)))*60), "0' ") &amp; TEXT(((((ABS(33.03694)-INT(ABS(33.03694)))*60)- INT((ABS(33.03694) - INT(ABS(33.03694)))*60))*60), " 0''")</f>
        <v>33°c c2  13</v>
      </c>
      <c r="J114" t="str">
        <f ca="1">TEXT(TRUNC(-117.29111), "0" &amp; CHAR(176) &amp; " ") &amp; TEXT(INT((ABS(-117.29111)- INT(ABS(-117.29111)))*60), "0' ") &amp; TEXT(((((ABS(-117.29111)-INT(ABS(-117.29111)))*60)- INT((ABS(-117.29111) - INT(ABS(-117.29111)))*60))*60), " 0''")</f>
        <v>-117°c c17  28</v>
      </c>
    </row>
    <row r="115" spans="1:10">
      <c r="A115" t="s">
        <v>10</v>
      </c>
      <c r="B115" s="2">
        <v>1200</v>
      </c>
      <c r="C115" t="s">
        <v>24</v>
      </c>
      <c r="D115" t="s">
        <v>337</v>
      </c>
      <c r="E115" t="s">
        <v>338</v>
      </c>
      <c r="F115" t="s">
        <v>152</v>
      </c>
      <c r="G115" t="s">
        <v>15</v>
      </c>
      <c r="H115" s="3">
        <v>39817.773611111108</v>
      </c>
      <c r="I115" t="str">
        <f ca="1">TEXT(TRUNC(39.11556), "0" &amp; CHAR(176) &amp; " ") &amp; TEXT(INT((ABS(39.11556)- INT(ABS(39.11556)))*60), "0' ") &amp; TEXT(((((ABS(39.11556)-INT(ABS(39.11556)))*60)- INT((ABS(39.11556) - INT(ABS(39.11556)))*60))*60), " 0''")</f>
        <v>39°c c6  56</v>
      </c>
      <c r="J115" t="str">
        <f ca="1">TEXT(TRUNC(-77.56389), "0" &amp; CHAR(176) &amp; " ") &amp; TEXT(INT((ABS(-77.56389)- INT(ABS(-77.56389)))*60), "0' ") &amp; TEXT(((((ABS(-77.56389)-INT(ABS(-77.56389)))*60)- INT((ABS(-77.56389) - INT(ABS(-77.56389)))*60))*60), " 0''")</f>
        <v>-77°c c33  50</v>
      </c>
    </row>
    <row r="116" spans="1:10">
      <c r="A116" t="s">
        <v>10</v>
      </c>
      <c r="B116" s="2">
        <v>1200</v>
      </c>
      <c r="C116" t="s">
        <v>11</v>
      </c>
      <c r="D116" t="s">
        <v>339</v>
      </c>
      <c r="E116" t="s">
        <v>340</v>
      </c>
      <c r="F116" t="s">
        <v>113</v>
      </c>
      <c r="G116" t="s">
        <v>49</v>
      </c>
      <c r="H116" s="3">
        <v>39817.789583333331</v>
      </c>
      <c r="I116" t="str">
        <f ca="1">TEXT(TRUNC(-28.05), "0" &amp; CHAR(176) &amp; " ") &amp; TEXT(INT((ABS(-28.05)- INT(ABS(-28.05)))*60), "0' ") &amp; TEXT(((((ABS(-28.05)-INT(ABS(-28.05)))*60)- INT((ABS(-28.05) - INT(ABS(-28.05)))*60))*60), " 0''")</f>
        <v>-28°c c3  0</v>
      </c>
      <c r="J116" t="str">
        <f ca="1">TEXT(TRUNC(153.35), "0" &amp; CHAR(176) &amp; " ") &amp; TEXT(INT((ABS(153.35)- INT(ABS(153.35)))*60), "0' ") &amp; TEXT(((((ABS(153.35)-INT(ABS(153.35)))*60)- INT((ABS(153.35) - INT(ABS(153.35)))*60))*60), " 0''")</f>
        <v>153°c c20  60</v>
      </c>
    </row>
    <row r="117" spans="1:10">
      <c r="A117" t="s">
        <v>10</v>
      </c>
      <c r="B117" s="2">
        <v>1200</v>
      </c>
      <c r="C117" t="s">
        <v>33</v>
      </c>
      <c r="D117" t="s">
        <v>341</v>
      </c>
      <c r="E117" t="s">
        <v>342</v>
      </c>
      <c r="F117" t="s">
        <v>343</v>
      </c>
      <c r="G117" t="s">
        <v>15</v>
      </c>
      <c r="H117" s="3">
        <v>39817.805555555555</v>
      </c>
      <c r="I117" t="str">
        <f ca="1">TEXT(TRUNC(41.66417), "0" &amp; CHAR(176) &amp; " ") &amp; TEXT(INT((ABS(41.66417)- INT(ABS(41.66417)))*60), "0' ") &amp; TEXT(((((ABS(41.66417)-INT(ABS(41.66417)))*60)- INT((ABS(41.66417) - INT(ABS(41.66417)))*60))*60), " 0''")</f>
        <v>41°c c39  51</v>
      </c>
      <c r="J117" t="str">
        <f ca="1">TEXT(TRUNC(-83.64333), "0" &amp; CHAR(176) &amp; " ") &amp; TEXT(INT((ABS(-83.64333)- INT(ABS(-83.64333)))*60), "0' ") &amp; TEXT(((((ABS(-83.64333)-INT(ABS(-83.64333)))*60)- INT((ABS(-83.64333) - INT(ABS(-83.64333)))*60))*60), " 0''")</f>
        <v>-83°c c38  36</v>
      </c>
    </row>
    <row r="118" spans="1:10">
      <c r="A118" t="s">
        <v>10</v>
      </c>
      <c r="B118" s="2">
        <v>1200</v>
      </c>
      <c r="C118" t="s">
        <v>11</v>
      </c>
      <c r="D118" t="s">
        <v>344</v>
      </c>
      <c r="E118" t="s">
        <v>345</v>
      </c>
      <c r="F118" t="s">
        <v>98</v>
      </c>
      <c r="G118" t="s">
        <v>15</v>
      </c>
      <c r="H118" s="3">
        <v>39817.84097222222</v>
      </c>
      <c r="I118" t="str">
        <f ca="1">TEXT(TRUNC(40.69361), "0" &amp; CHAR(176) &amp; " ") &amp; TEXT(INT((ABS(40.69361)- INT(ABS(40.69361)))*60), "0' ") &amp; TEXT(((((ABS(40.69361)-INT(ABS(40.69361)))*60)- INT((ABS(40.69361) - INT(ABS(40.69361)))*60))*60), " 0''")</f>
        <v>40°c c41  37</v>
      </c>
      <c r="J118" t="str">
        <f ca="1">TEXT(TRUNC(-89.58889), "0" &amp; CHAR(176) &amp; " ") &amp; TEXT(INT((ABS(-89.58889)- INT(ABS(-89.58889)))*60), "0' ") &amp; TEXT(((((ABS(-89.58889)-INT(ABS(-89.58889)))*60)- INT((ABS(-89.58889) - INT(ABS(-89.58889)))*60))*60), " 0''")</f>
        <v>-89°c c35  20</v>
      </c>
    </row>
    <row r="119" spans="1:10">
      <c r="A119" t="s">
        <v>10</v>
      </c>
      <c r="B119" s="2">
        <v>1200</v>
      </c>
      <c r="C119" t="s">
        <v>11</v>
      </c>
      <c r="D119" t="s">
        <v>346</v>
      </c>
      <c r="E119" t="s">
        <v>100</v>
      </c>
      <c r="F119" t="s">
        <v>80</v>
      </c>
      <c r="G119" t="s">
        <v>81</v>
      </c>
      <c r="H119" s="3">
        <v>39817.880555555559</v>
      </c>
      <c r="I11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11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120" spans="1:10">
      <c r="A120" t="s">
        <v>10</v>
      </c>
      <c r="B120" s="2">
        <v>1200</v>
      </c>
      <c r="C120" t="s">
        <v>50</v>
      </c>
      <c r="D120" t="s">
        <v>352</v>
      </c>
      <c r="E120" t="s">
        <v>353</v>
      </c>
      <c r="F120" t="s">
        <v>354</v>
      </c>
      <c r="G120" t="s">
        <v>81</v>
      </c>
      <c r="H120" s="3">
        <v>39817.991666666669</v>
      </c>
      <c r="I120" t="str">
        <f ca="1">TEXT(TRUNC(62.45), "0" &amp; CHAR(176) &amp; " ") &amp; TEXT(INT((ABS(62.45)- INT(ABS(62.45)))*60), "0' ") &amp; TEXT(((((ABS(62.45)-INT(ABS(62.45)))*60)- INT((ABS(62.45) - INT(ABS(62.45)))*60))*60), " 0''")</f>
        <v>62°c c27  0</v>
      </c>
      <c r="J120" t="str">
        <f ca="1">TEXT(TRUNC(-114.35), "0" &amp; CHAR(176) &amp; " ") &amp; TEXT(INT((ABS(-114.35)- INT(ABS(-114.35)))*60), "0' ") &amp; TEXT(((((ABS(-114.35)-INT(ABS(-114.35)))*60)- INT((ABS(-114.35) - INT(ABS(-114.35)))*60))*60), " 0''")</f>
        <v>-114°c c20  60</v>
      </c>
    </row>
    <row r="121" spans="1:10">
      <c r="A121" t="s">
        <v>10</v>
      </c>
      <c r="B121" s="2">
        <v>1200</v>
      </c>
      <c r="C121" t="s">
        <v>11</v>
      </c>
      <c r="D121" t="s">
        <v>355</v>
      </c>
      <c r="E121" t="s">
        <v>356</v>
      </c>
      <c r="F121" t="s">
        <v>357</v>
      </c>
      <c r="G121" t="s">
        <v>209</v>
      </c>
      <c r="H121" s="3">
        <v>39818.021527777775</v>
      </c>
      <c r="I121" t="str">
        <f ca="1">TEXT(TRUNC(59.2833333), "0" &amp; CHAR(176) &amp; " ") &amp; TEXT(INT((ABS(59.2833333)- INT(ABS(59.2833333)))*60), "0' ") &amp; TEXT(((((ABS(59.2833333)-INT(ABS(59.2833333)))*60)- INT((ABS(59.2833333) - INT(ABS(59.2833333)))*60))*60), " 0''")</f>
        <v>59°c c16  60</v>
      </c>
      <c r="J121" t="str">
        <f ca="1">TEXT(TRUNC(18.3), "0" &amp; CHAR(176) &amp; " ") &amp; TEXT(INT((ABS(18.3)- INT(ABS(18.3)))*60), "0' ") &amp; TEXT(((((ABS(18.3)-INT(ABS(18.3)))*60)- INT((ABS(18.3) - INT(ABS(18.3)))*60))*60), " 0''")</f>
        <v>18°c c18  0</v>
      </c>
    </row>
    <row r="122" spans="1:10">
      <c r="A122" t="s">
        <v>10</v>
      </c>
      <c r="B122" s="2">
        <v>1200</v>
      </c>
      <c r="C122" t="s">
        <v>33</v>
      </c>
      <c r="D122" t="s">
        <v>25</v>
      </c>
      <c r="E122" t="s">
        <v>358</v>
      </c>
      <c r="F122" t="s">
        <v>359</v>
      </c>
      <c r="G122" t="s">
        <v>360</v>
      </c>
      <c r="H122" s="3">
        <v>39818.031944444447</v>
      </c>
      <c r="I122" t="str">
        <f ca="1">TEXT(TRUNC(28.4666667), "0" &amp; CHAR(176) &amp; " ") &amp; TEXT(INT((ABS(28.4666667)- INT(ABS(28.4666667)))*60), "0' ") &amp; TEXT(((((ABS(28.4666667)-INT(ABS(28.4666667)))*60)- INT((ABS(28.4666667) - INT(ABS(28.4666667)))*60))*60), " 0''")</f>
        <v>28°c c28  0</v>
      </c>
      <c r="J122" t="str">
        <f ca="1">TEXT(TRUNC(77.0333333), "0" &amp; CHAR(176) &amp; " ") &amp; TEXT(INT((ABS(77.0333333)- INT(ABS(77.0333333)))*60), "0' ") &amp; TEXT(((((ABS(77.0333333)-INT(ABS(77.0333333)))*60)- INT((ABS(77.0333333) - INT(ABS(77.0333333)))*60))*60), " 0''")</f>
        <v>77°c c1  60</v>
      </c>
    </row>
    <row r="123" spans="1:10">
      <c r="A123" t="s">
        <v>10</v>
      </c>
      <c r="B123" s="2">
        <v>1200</v>
      </c>
      <c r="C123" t="s">
        <v>50</v>
      </c>
      <c r="D123" t="s">
        <v>361</v>
      </c>
      <c r="E123" t="s">
        <v>362</v>
      </c>
      <c r="F123" t="s">
        <v>14</v>
      </c>
      <c r="G123" t="s">
        <v>15</v>
      </c>
      <c r="H123" s="3">
        <v>39818.1125</v>
      </c>
      <c r="I123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23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24" spans="1:10">
      <c r="A124" t="s">
        <v>10</v>
      </c>
      <c r="B124" s="2">
        <v>1200</v>
      </c>
      <c r="C124" t="s">
        <v>50</v>
      </c>
      <c r="D124" t="s">
        <v>366</v>
      </c>
      <c r="E124" t="s">
        <v>64</v>
      </c>
      <c r="F124" t="s">
        <v>64</v>
      </c>
      <c r="G124" t="s">
        <v>65</v>
      </c>
      <c r="H124" s="3">
        <v>39818.127083333333</v>
      </c>
      <c r="I124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124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125" spans="1:10">
      <c r="A125" t="s">
        <v>10</v>
      </c>
      <c r="B125" s="2">
        <v>1200</v>
      </c>
      <c r="C125" t="s">
        <v>11</v>
      </c>
      <c r="D125" t="s">
        <v>367</v>
      </c>
      <c r="E125" t="s">
        <v>368</v>
      </c>
      <c r="F125" t="s">
        <v>369</v>
      </c>
      <c r="G125" t="s">
        <v>370</v>
      </c>
      <c r="H125" s="3">
        <v>39818.173611111109</v>
      </c>
      <c r="I125" t="str">
        <f ca="1">TEXT(TRUNC(-26.1666667), "0" &amp; CHAR(176) &amp; " ") &amp; TEXT(INT((ABS(-26.1666667)- INT(ABS(-26.1666667)))*60), "0' ") &amp; TEXT(((((ABS(-26.1666667)-INT(ABS(-26.1666667)))*60)- INT((ABS(-26.1666667) - INT(ABS(-26.1666667)))*60))*60), " 0''")</f>
        <v>-26°c c10  0</v>
      </c>
      <c r="J125" t="str">
        <f ca="1">TEXT(TRUNC(27.8666667), "0" &amp; CHAR(176) &amp; " ") &amp; TEXT(INT((ABS(27.8666667)- INT(ABS(27.8666667)))*60), "0' ") &amp; TEXT(((((ABS(27.8666667)-INT(ABS(27.8666667)))*60)- INT((ABS(27.8666667) - INT(ABS(27.8666667)))*60))*60), " 0''")</f>
        <v>27°c c52  0</v>
      </c>
    </row>
    <row r="126" spans="1:10">
      <c r="A126" t="s">
        <v>10</v>
      </c>
      <c r="B126" s="2">
        <v>1200</v>
      </c>
      <c r="C126" t="s">
        <v>24</v>
      </c>
      <c r="D126" t="s">
        <v>371</v>
      </c>
      <c r="E126" t="s">
        <v>372</v>
      </c>
      <c r="F126" t="s">
        <v>323</v>
      </c>
      <c r="G126" t="s">
        <v>174</v>
      </c>
      <c r="H126" s="3">
        <v>39818.229166666664</v>
      </c>
      <c r="I12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12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127" spans="1:10">
      <c r="A127" t="s">
        <v>10</v>
      </c>
      <c r="B127" s="2">
        <v>1200</v>
      </c>
      <c r="C127" t="s">
        <v>24</v>
      </c>
      <c r="D127" t="s">
        <v>373</v>
      </c>
      <c r="E127" t="s">
        <v>374</v>
      </c>
      <c r="F127" t="s">
        <v>57</v>
      </c>
      <c r="G127" t="s">
        <v>15</v>
      </c>
      <c r="H127" s="3">
        <v>39818.23125</v>
      </c>
      <c r="I127" t="str">
        <f ca="1">TEXT(TRUNC(33.11917), "0" &amp; CHAR(176) &amp; " ") &amp; TEXT(INT((ABS(33.11917)- INT(ABS(33.11917)))*60), "0' ") &amp; TEXT(((((ABS(33.11917)-INT(ABS(33.11917)))*60)- INT((ABS(33.11917) - INT(ABS(33.11917)))*60))*60), " 0''")</f>
        <v>33°c c7  9</v>
      </c>
      <c r="J127" t="str">
        <f ca="1">TEXT(TRUNC(-117.08556), "0" &amp; CHAR(176) &amp; " ") &amp; TEXT(INT((ABS(-117.08556)- INT(ABS(-117.08556)))*60), "0' ") &amp; TEXT(((((ABS(-117.08556)-INT(ABS(-117.08556)))*60)- INT((ABS(-117.08556) - INT(ABS(-117.08556)))*60))*60), " 0''")</f>
        <v>-117°c c5  8</v>
      </c>
    </row>
    <row r="128" spans="1:10">
      <c r="A128" t="s">
        <v>10</v>
      </c>
      <c r="B128" s="2">
        <v>1200</v>
      </c>
      <c r="C128" t="s">
        <v>11</v>
      </c>
      <c r="D128" t="s">
        <v>114</v>
      </c>
      <c r="E128" t="s">
        <v>118</v>
      </c>
      <c r="F128" t="s">
        <v>53</v>
      </c>
      <c r="G128" t="s">
        <v>54</v>
      </c>
      <c r="H128" s="3">
        <v>39818.23125</v>
      </c>
      <c r="I128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128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129" spans="1:10">
      <c r="A129" t="s">
        <v>10</v>
      </c>
      <c r="B129" s="2">
        <v>1200</v>
      </c>
      <c r="C129" t="s">
        <v>33</v>
      </c>
      <c r="D129" t="s">
        <v>375</v>
      </c>
      <c r="E129" t="s">
        <v>376</v>
      </c>
      <c r="F129" t="s">
        <v>377</v>
      </c>
      <c r="G129" t="s">
        <v>31</v>
      </c>
      <c r="H129" s="3">
        <v>39818.23541666667</v>
      </c>
      <c r="I129" t="str">
        <f ca="1">TEXT(TRUNC(51.45), "0" &amp; CHAR(176) &amp; " ") &amp; TEXT(INT((ABS(51.45)- INT(ABS(51.45)))*60), "0' ") &amp; TEXT(((((ABS(51.45)-INT(ABS(51.45)))*60)- INT((ABS(51.45) - INT(ABS(51.45)))*60))*60), " 0''")</f>
        <v>51°c c27  0</v>
      </c>
      <c r="J129" t="str">
        <f ca="1">TEXT(TRUNC(5.4666667), "0" &amp; CHAR(176) &amp; " ") &amp; TEXT(INT((ABS(5.4666667)- INT(ABS(5.4666667)))*60), "0' ") &amp; TEXT(((((ABS(5.4666667)-INT(ABS(5.4666667)))*60)- INT((ABS(5.4666667) - INT(ABS(5.4666667)))*60))*60), " 0''")</f>
        <v>5°c c28  0</v>
      </c>
    </row>
    <row r="130" spans="1:10">
      <c r="A130" t="s">
        <v>10</v>
      </c>
      <c r="B130" s="2">
        <v>1200</v>
      </c>
      <c r="C130" t="s">
        <v>50</v>
      </c>
      <c r="D130" t="s">
        <v>378</v>
      </c>
      <c r="E130" t="s">
        <v>379</v>
      </c>
      <c r="F130" t="s">
        <v>380</v>
      </c>
      <c r="G130" t="s">
        <v>42</v>
      </c>
      <c r="H130" s="3">
        <v>39818.258333333331</v>
      </c>
      <c r="I130" t="str">
        <f ca="1">TEXT(TRUNC(43.8333333), "0" &amp; CHAR(176) &amp; " ") &amp; TEXT(INT((ABS(43.8333333)- INT(ABS(43.8333333)))*60), "0' ") &amp; TEXT(((((ABS(43.8333333)-INT(ABS(43.8333333)))*60)- INT((ABS(43.8333333) - INT(ABS(43.8333333)))*60))*60), " 0''")</f>
        <v>43°c c49  60</v>
      </c>
      <c r="J130" t="str">
        <f ca="1">TEXT(TRUNC(10.4833333), "0" &amp; CHAR(176) &amp; " ") &amp; TEXT(INT((ABS(10.4833333)- INT(ABS(10.4833333)))*60), "0' ") &amp; TEXT(((((ABS(10.4833333)-INT(ABS(10.4833333)))*60)- INT((ABS(10.4833333) - INT(ABS(10.4833333)))*60))*60), " 0''")</f>
        <v>10°c c28  60</v>
      </c>
    </row>
    <row r="131" spans="1:10">
      <c r="A131" t="s">
        <v>10</v>
      </c>
      <c r="B131" s="2">
        <v>1200</v>
      </c>
      <c r="C131" t="s">
        <v>11</v>
      </c>
      <c r="D131" t="s">
        <v>381</v>
      </c>
      <c r="E131" t="s">
        <v>382</v>
      </c>
      <c r="F131" t="s">
        <v>383</v>
      </c>
      <c r="G131" t="s">
        <v>174</v>
      </c>
      <c r="H131" s="3">
        <v>39818.259722222225</v>
      </c>
      <c r="I131" t="str">
        <f ca="1">TEXT(TRUNC(46.2666667), "0" &amp; CHAR(176) &amp; " ") &amp; TEXT(INT((ABS(46.2666667)- INT(ABS(46.2666667)))*60), "0' ") &amp; TEXT(((((ABS(46.2666667)-INT(ABS(46.2666667)))*60)- INT((ABS(46.2666667) - INT(ABS(46.2666667)))*60))*60), " 0''")</f>
        <v>46°c c16  0</v>
      </c>
      <c r="J131" t="str">
        <f ca="1">TEXT(TRUNC(6.25), "0" &amp; CHAR(176) &amp; " ") &amp; TEXT(INT((ABS(6.25)- INT(ABS(6.25)))*60), "0' ") &amp; TEXT(((((ABS(6.25)-INT(ABS(6.25)))*60)- INT((ABS(6.25) - INT(ABS(6.25)))*60))*60), " 0''")</f>
        <v>6°c c15  0</v>
      </c>
    </row>
    <row r="132" spans="1:10">
      <c r="A132" t="s">
        <v>10</v>
      </c>
      <c r="B132" s="2">
        <v>1200</v>
      </c>
      <c r="C132" t="s">
        <v>24</v>
      </c>
      <c r="D132" t="s">
        <v>384</v>
      </c>
      <c r="E132" t="s">
        <v>385</v>
      </c>
      <c r="F132" t="s">
        <v>14</v>
      </c>
      <c r="G132" t="s">
        <v>15</v>
      </c>
      <c r="H132" s="3">
        <v>39818.317361111112</v>
      </c>
      <c r="I132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32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33" spans="1:10">
      <c r="A133" t="s">
        <v>10</v>
      </c>
      <c r="B133" s="2">
        <v>1200</v>
      </c>
      <c r="C133" t="s">
        <v>33</v>
      </c>
      <c r="D133" t="s">
        <v>386</v>
      </c>
      <c r="E133" t="s">
        <v>387</v>
      </c>
      <c r="F133" t="s">
        <v>388</v>
      </c>
      <c r="G133" t="s">
        <v>75</v>
      </c>
      <c r="H133" s="3">
        <v>39818.324305555558</v>
      </c>
      <c r="I133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133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134" spans="1:10">
      <c r="A134" t="s">
        <v>10</v>
      </c>
      <c r="B134" s="2">
        <v>1200</v>
      </c>
      <c r="C134" t="s">
        <v>11</v>
      </c>
      <c r="D134" t="s">
        <v>389</v>
      </c>
      <c r="E134" t="s">
        <v>390</v>
      </c>
      <c r="F134" t="s">
        <v>391</v>
      </c>
      <c r="G134" t="s">
        <v>15</v>
      </c>
      <c r="H134" s="3">
        <v>39818.329861111109</v>
      </c>
      <c r="I134" t="str">
        <f ca="1">TEXT(TRUNC(21.31556), "0" &amp; CHAR(176) &amp; " ") &amp; TEXT(INT((ABS(21.31556)- INT(ABS(21.31556)))*60), "0' ") &amp; TEXT(((((ABS(21.31556)-INT(ABS(21.31556)))*60)- INT((ABS(21.31556) - INT(ABS(21.31556)))*60))*60), " 0''")</f>
        <v>21°c c18  56</v>
      </c>
      <c r="J134" t="str">
        <f ca="1">TEXT(TRUNC(-158.00722), "0" &amp; CHAR(176) &amp; " ") &amp; TEXT(INT((ABS(-158.00722)- INT(ABS(-158.00722)))*60), "0' ") &amp; TEXT(((((ABS(-158.00722)-INT(ABS(-158.00722)))*60)- INT((ABS(-158.00722) - INT(ABS(-158.00722)))*60))*60), " 0''")</f>
        <v>-158°c c0  26</v>
      </c>
    </row>
    <row r="135" spans="1:10">
      <c r="A135" t="s">
        <v>10</v>
      </c>
      <c r="B135" s="2">
        <v>1200</v>
      </c>
      <c r="C135" t="s">
        <v>24</v>
      </c>
      <c r="D135" t="s">
        <v>392</v>
      </c>
      <c r="E135" t="s">
        <v>393</v>
      </c>
      <c r="F135" t="s">
        <v>394</v>
      </c>
      <c r="G135" t="s">
        <v>75</v>
      </c>
      <c r="H135" s="3">
        <v>39818.352777777778</v>
      </c>
      <c r="I135" t="str">
        <f ca="1">TEXT(TRUNC(47.25), "0" &amp; CHAR(176) &amp; " ") &amp; TEXT(INT((ABS(47.25)- INT(ABS(47.25)))*60), "0' ") &amp; TEXT(((((ABS(47.25)-INT(ABS(47.25)))*60)- INT((ABS(47.25) - INT(ABS(47.25)))*60))*60), " 0''")</f>
        <v>47°c c15  0</v>
      </c>
      <c r="J135" t="str">
        <f ca="1">TEXT(TRUNC(8.85), "0" &amp; CHAR(176) &amp; " ") &amp; TEXT(INT((ABS(8.85)- INT(ABS(8.85)))*60), "0' ") &amp; TEXT(((((ABS(8.85)-INT(ABS(8.85)))*60)- INT((ABS(8.85) - INT(ABS(8.85)))*60))*60), " 0''")</f>
        <v>8°c c51  0</v>
      </c>
    </row>
    <row r="136" spans="1:10">
      <c r="A136" t="s">
        <v>10</v>
      </c>
      <c r="B136" s="2">
        <v>1200</v>
      </c>
      <c r="C136" t="s">
        <v>24</v>
      </c>
      <c r="D136" t="s">
        <v>398</v>
      </c>
      <c r="E136" t="s">
        <v>399</v>
      </c>
      <c r="F136" t="s">
        <v>400</v>
      </c>
      <c r="G136" t="s">
        <v>15</v>
      </c>
      <c r="H136" s="3">
        <v>39818.38125</v>
      </c>
      <c r="I136" t="str">
        <f ca="1">TEXT(TRUNC(42.53778), "0" &amp; CHAR(176) &amp; " ") &amp; TEXT(INT((ABS(42.53778)- INT(ABS(42.53778)))*60), "0' ") &amp; TEXT(((((ABS(42.53778)-INT(ABS(42.53778)))*60)- INT((ABS(42.53778) - INT(ABS(42.53778)))*60))*60), " 0''")</f>
        <v>42°c c32  16</v>
      </c>
      <c r="J136" t="str">
        <f ca="1">TEXT(TRUNC(-83.23306), "0" &amp; CHAR(176) &amp; " ") &amp; TEXT(INT((ABS(-83.23306)- INT(ABS(-83.23306)))*60), "0' ") &amp; TEXT(((((ABS(-83.23306)-INT(ABS(-83.23306)))*60)- INT((ABS(-83.23306) - INT(ABS(-83.23306)))*60))*60), " 0''")</f>
        <v>-83°c c13  59</v>
      </c>
    </row>
    <row r="137" spans="1:10">
      <c r="A137" t="s">
        <v>10</v>
      </c>
      <c r="B137" s="2">
        <v>1200</v>
      </c>
      <c r="C137" t="s">
        <v>24</v>
      </c>
      <c r="D137" t="s">
        <v>401</v>
      </c>
      <c r="E137" t="s">
        <v>402</v>
      </c>
      <c r="F137" t="s">
        <v>304</v>
      </c>
      <c r="G137" t="s">
        <v>81</v>
      </c>
      <c r="H137" s="3">
        <v>39818.385416666664</v>
      </c>
      <c r="I137" t="str">
        <f ca="1">TEXT(TRUNC(45.6333333), "0" &amp; CHAR(176) &amp; " ") &amp; TEXT(INT((ABS(45.6333333)- INT(ABS(45.6333333)))*60), "0' ") &amp; TEXT(((((ABS(45.6333333)-INT(ABS(45.6333333)))*60)- INT((ABS(45.6333333) - INT(ABS(45.6333333)))*60))*60), " 0''")</f>
        <v>45°c c37  60</v>
      </c>
      <c r="J137" t="str">
        <f ca="1">TEXT(TRUNC(-73.85), "0" &amp; CHAR(176) &amp; " ") &amp; TEXT(INT((ABS(-73.85)- INT(ABS(-73.85)))*60), "0' ") &amp; TEXT(((((ABS(-73.85)-INT(ABS(-73.85)))*60)- INT((ABS(-73.85) - INT(ABS(-73.85)))*60))*60), " 0''")</f>
        <v>-73°c c50  60</v>
      </c>
    </row>
    <row r="138" spans="1:10">
      <c r="A138" t="s">
        <v>10</v>
      </c>
      <c r="B138" s="2">
        <v>1200</v>
      </c>
      <c r="C138" t="s">
        <v>24</v>
      </c>
      <c r="D138" t="s">
        <v>406</v>
      </c>
      <c r="E138" t="s">
        <v>407</v>
      </c>
      <c r="F138" t="s">
        <v>408</v>
      </c>
      <c r="G138" t="s">
        <v>15</v>
      </c>
      <c r="H138" s="3">
        <v>39818.422222222223</v>
      </c>
      <c r="I138" t="str">
        <f ca="1">TEXT(TRUNC(43.69556), "0" &amp; CHAR(176) &amp; " ") &amp; TEXT(INT((ABS(43.69556)- INT(ABS(43.69556)))*60), "0' ") &amp; TEXT(((((ABS(43.69556)-INT(ABS(43.69556)))*60)- INT((ABS(43.69556) - INT(ABS(43.69556)))*60))*60), " 0''")</f>
        <v>43°c c41  44</v>
      </c>
      <c r="J138" t="str">
        <f ca="1">TEXT(TRUNC(-116.35306), "0" &amp; CHAR(176) &amp; " ") &amp; TEXT(INT((ABS(-116.35306)- INT(ABS(-116.35306)))*60), "0' ") &amp; TEXT(((((ABS(-116.35306)-INT(ABS(-116.35306)))*60)- INT((ABS(-116.35306) - INT(ABS(-116.35306)))*60))*60), " 0''")</f>
        <v>-116°c c21  11</v>
      </c>
    </row>
    <row r="139" spans="1:10">
      <c r="A139" t="s">
        <v>10</v>
      </c>
      <c r="B139" s="2">
        <v>1200</v>
      </c>
      <c r="C139" t="s">
        <v>24</v>
      </c>
      <c r="D139" t="s">
        <v>409</v>
      </c>
      <c r="E139" t="s">
        <v>410</v>
      </c>
      <c r="F139" t="s">
        <v>411</v>
      </c>
      <c r="G139" t="s">
        <v>65</v>
      </c>
      <c r="H139" s="3">
        <v>39818.422222222223</v>
      </c>
      <c r="I139" t="str">
        <f ca="1">TEXT(TRUNC(52.355), "0" &amp; CHAR(176) &amp; " ") &amp; TEXT(INT((ABS(52.355)- INT(ABS(52.355)))*60), "0' ") &amp; TEXT(((((ABS(52.355)-INT(ABS(52.355)))*60)- INT((ABS(52.355) - INT(ABS(52.355)))*60))*60), " 0''")</f>
        <v>52°c c21  18</v>
      </c>
      <c r="J139" t="str">
        <f ca="1">TEXT(TRUNC(-7.7038889), "0" &amp; CHAR(176) &amp; " ") &amp; TEXT(INT((ABS(-7.7038889)- INT(ABS(-7.7038889)))*60), "0' ") &amp; TEXT(((((ABS(-7.7038889)-INT(ABS(-7.7038889)))*60)- INT((ABS(-7.7038889) - INT(ABS(-7.7038889)))*60))*60), " 0''")</f>
        <v>-7°c c42  14</v>
      </c>
    </row>
    <row r="140" spans="1:10">
      <c r="A140" t="s">
        <v>10</v>
      </c>
      <c r="B140" s="2">
        <v>1200</v>
      </c>
      <c r="C140" t="s">
        <v>33</v>
      </c>
      <c r="D140" t="s">
        <v>412</v>
      </c>
      <c r="E140" t="s">
        <v>413</v>
      </c>
      <c r="F140" t="s">
        <v>152</v>
      </c>
      <c r="G140" t="s">
        <v>15</v>
      </c>
      <c r="H140" s="3">
        <v>39818.434027777781</v>
      </c>
      <c r="I140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140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141" spans="1:10">
      <c r="A141" t="s">
        <v>10</v>
      </c>
      <c r="B141" s="2">
        <v>1200</v>
      </c>
      <c r="C141" t="s">
        <v>24</v>
      </c>
      <c r="D141" t="s">
        <v>416</v>
      </c>
      <c r="E141" t="s">
        <v>417</v>
      </c>
      <c r="F141" t="s">
        <v>53</v>
      </c>
      <c r="G141" t="s">
        <v>54</v>
      </c>
      <c r="H141" s="3">
        <v>39818.472916666666</v>
      </c>
      <c r="I141" t="str">
        <f ca="1">TEXT(TRUNC(50.9833333), "0" &amp; CHAR(176) &amp; " ") &amp; TEXT(INT((ABS(50.9833333)- INT(ABS(50.9833333)))*60), "0' ") &amp; TEXT(((((ABS(50.9833333)-INT(ABS(50.9833333)))*60)- INT((ABS(50.9833333) - INT(ABS(50.9833333)))*60))*60), " 0''")</f>
        <v>50°c c58  60</v>
      </c>
      <c r="J141" t="str">
        <f ca="1">TEXT(TRUNC(-0.6), "0" &amp; CHAR(176) &amp; " ") &amp; TEXT(INT((ABS(-0.6)- INT(ABS(-0.6)))*60), "0' ") &amp; TEXT(((((ABS(-0.6)-INT(ABS(-0.6)))*60)- INT((ABS(-0.6) - INT(ABS(-0.6)))*60))*60), " 0''")</f>
        <v>0°c c36  0</v>
      </c>
    </row>
    <row r="142" spans="1:10">
      <c r="A142" t="s">
        <v>10</v>
      </c>
      <c r="B142" s="2">
        <v>1200</v>
      </c>
      <c r="C142" t="s">
        <v>33</v>
      </c>
      <c r="D142" t="s">
        <v>418</v>
      </c>
      <c r="E142" t="s">
        <v>419</v>
      </c>
      <c r="F142" t="s">
        <v>57</v>
      </c>
      <c r="G142" t="s">
        <v>15</v>
      </c>
      <c r="H142" s="3">
        <v>39818.475</v>
      </c>
      <c r="I142" t="str">
        <f ca="1">TEXT(TRUNC(38.01722), "0" &amp; CHAR(176) &amp; " ") &amp; TEXT(INT((ABS(38.01722)- INT(ABS(38.01722)))*60), "0' ") &amp; TEXT(((((ABS(38.01722)-INT(ABS(38.01722)))*60)- INT((ABS(38.01722) - INT(ABS(38.01722)))*60))*60), " 0''")</f>
        <v>38°c c1  2</v>
      </c>
      <c r="J142" t="str">
        <f ca="1">TEXT(TRUNC(-122.2875), "0" &amp; CHAR(176) &amp; " ") &amp; TEXT(INT((ABS(-122.2875)- INT(ABS(-122.2875)))*60), "0' ") &amp; TEXT(((((ABS(-122.2875)-INT(ABS(-122.2875)))*60)- INT((ABS(-122.2875) - INT(ABS(-122.2875)))*60))*60), " 0''")</f>
        <v>-122°c c17  15</v>
      </c>
    </row>
    <row r="143" spans="1:10">
      <c r="A143" t="s">
        <v>10</v>
      </c>
      <c r="B143" s="2">
        <v>1200</v>
      </c>
      <c r="C143" t="s">
        <v>24</v>
      </c>
      <c r="D143" t="s">
        <v>420</v>
      </c>
      <c r="E143" t="s">
        <v>421</v>
      </c>
      <c r="F143" t="s">
        <v>95</v>
      </c>
      <c r="G143" t="s">
        <v>81</v>
      </c>
      <c r="H143" s="3">
        <v>39818.484027777777</v>
      </c>
      <c r="I143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143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144" spans="1:10">
      <c r="A144" t="s">
        <v>10</v>
      </c>
      <c r="B144" s="2">
        <v>1200</v>
      </c>
      <c r="C144" t="s">
        <v>24</v>
      </c>
      <c r="D144" t="s">
        <v>277</v>
      </c>
      <c r="E144" t="s">
        <v>422</v>
      </c>
      <c r="F144" t="s">
        <v>423</v>
      </c>
      <c r="G144" t="s">
        <v>19</v>
      </c>
      <c r="H144" s="3">
        <v>39818.488888888889</v>
      </c>
      <c r="I144" t="str">
        <f ca="1">TEXT(TRUNC(56.15), "0" &amp; CHAR(176) &amp; " ") &amp; TEXT(INT((ABS(56.15)- INT(ABS(56.15)))*60), "0' ") &amp; TEXT(((((ABS(56.15)-INT(ABS(56.15)))*60)- INT((ABS(56.15) - INT(ABS(56.15)))*60))*60), " 0''")</f>
        <v>56°c c8  60</v>
      </c>
      <c r="J144" t="str">
        <f ca="1">TEXT(TRUNC(9.8166667), "0" &amp; CHAR(176) &amp; " ") &amp; TEXT(INT((ABS(9.8166667)- INT(ABS(9.8166667)))*60), "0' ") &amp; TEXT(((((ABS(9.8166667)-INT(ABS(9.8166667)))*60)- INT((ABS(9.8166667) - INT(ABS(9.8166667)))*60))*60), " 0''")</f>
        <v>9°c c49  0</v>
      </c>
    </row>
    <row r="145" spans="1:10">
      <c r="A145" t="s">
        <v>10</v>
      </c>
      <c r="B145" s="2">
        <v>1200</v>
      </c>
      <c r="C145" t="s">
        <v>24</v>
      </c>
      <c r="D145" t="s">
        <v>424</v>
      </c>
      <c r="E145" t="s">
        <v>425</v>
      </c>
      <c r="F145" t="s">
        <v>234</v>
      </c>
      <c r="G145" t="s">
        <v>19</v>
      </c>
      <c r="H145" s="3">
        <v>39818.519444444442</v>
      </c>
      <c r="I145" t="str">
        <f ca="1">TEXT(TRUNC(55.8841667), "0" &amp; CHAR(176) &amp; " ") &amp; TEXT(INT((ABS(55.8841667)- INT(ABS(55.8841667)))*60), "0' ") &amp; TEXT(((((ABS(55.8841667)-INT(ABS(55.8841667)))*60)- INT((ABS(55.8841667) - INT(ABS(55.8841667)))*60))*60), " 0''")</f>
        <v>55°c c53  3</v>
      </c>
      <c r="J145" t="str">
        <f ca="1">TEXT(TRUNC(12.5419444), "0" &amp; CHAR(176) &amp; " ") &amp; TEXT(INT((ABS(12.5419444)- INT(ABS(12.5419444)))*60), "0' ") &amp; TEXT(((((ABS(12.5419444)-INT(ABS(12.5419444)))*60)- INT((ABS(12.5419444) - INT(ABS(12.5419444)))*60))*60), " 0''")</f>
        <v>12°c c32  31</v>
      </c>
    </row>
    <row r="146" spans="1:10">
      <c r="A146" t="s">
        <v>10</v>
      </c>
      <c r="B146" s="2">
        <v>1200</v>
      </c>
      <c r="C146" t="s">
        <v>11</v>
      </c>
      <c r="D146" t="s">
        <v>194</v>
      </c>
      <c r="E146" t="s">
        <v>426</v>
      </c>
      <c r="F146" t="s">
        <v>57</v>
      </c>
      <c r="G146" t="s">
        <v>15</v>
      </c>
      <c r="H146" s="3">
        <v>39818.52847222222</v>
      </c>
      <c r="I146" t="str">
        <f ca="1">TEXT(TRUNC(32.79778), "0" &amp; CHAR(176) &amp; " ") &amp; TEXT(INT((ABS(32.79778)- INT(ABS(32.79778)))*60), "0' ") &amp; TEXT(((((ABS(32.79778)-INT(ABS(32.79778)))*60)- INT((ABS(32.79778) - INT(ABS(32.79778)))*60))*60), " 0''")</f>
        <v>32°c c47  52</v>
      </c>
      <c r="J146" t="str">
        <f ca="1">TEXT(TRUNC(-117.23944), "0" &amp; CHAR(176) &amp; " ") &amp; TEXT(INT((ABS(-117.23944)- INT(ABS(-117.23944)))*60), "0' ") &amp; TEXT(((((ABS(-117.23944)-INT(ABS(-117.23944)))*60)- INT((ABS(-117.23944) - INT(ABS(-117.23944)))*60))*60), " 0''")</f>
        <v>-117°c c14  22</v>
      </c>
    </row>
    <row r="147" spans="1:10">
      <c r="A147" t="s">
        <v>10</v>
      </c>
      <c r="B147" s="2">
        <v>1200</v>
      </c>
      <c r="C147" t="s">
        <v>24</v>
      </c>
      <c r="D147" t="s">
        <v>427</v>
      </c>
      <c r="E147" t="s">
        <v>100</v>
      </c>
      <c r="F147" t="s">
        <v>80</v>
      </c>
      <c r="G147" t="s">
        <v>81</v>
      </c>
      <c r="H147" s="3">
        <v>39818.52847222222</v>
      </c>
      <c r="I147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147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148" spans="1:10">
      <c r="A148" t="s">
        <v>10</v>
      </c>
      <c r="B148" s="2">
        <v>1200</v>
      </c>
      <c r="C148" t="s">
        <v>50</v>
      </c>
      <c r="D148" t="s">
        <v>428</v>
      </c>
      <c r="E148" t="s">
        <v>429</v>
      </c>
      <c r="F148" t="s">
        <v>408</v>
      </c>
      <c r="G148" t="s">
        <v>15</v>
      </c>
      <c r="H148" s="3">
        <v>39818.539583333331</v>
      </c>
      <c r="I148" t="str">
        <f ca="1">TEXT(TRUNC(43.61361), "0" &amp; CHAR(176) &amp; " ") &amp; TEXT(INT((ABS(43.61361)- INT(ABS(43.61361)))*60), "0' ") &amp; TEXT(((((ABS(43.61361)-INT(ABS(43.61361)))*60)- INT((ABS(43.61361) - INT(ABS(43.61361)))*60))*60), " 0''")</f>
        <v>43°c c36  49</v>
      </c>
      <c r="J148" t="str">
        <f ca="1">TEXT(TRUNC(-116.2025), "0" &amp; CHAR(176) &amp; " ") &amp; TEXT(INT((ABS(-116.2025)- INT(ABS(-116.2025)))*60), "0' ") &amp; TEXT(((((ABS(-116.2025)-INT(ABS(-116.2025)))*60)- INT((ABS(-116.2025) - INT(ABS(-116.2025)))*60))*60), " 0''")</f>
        <v>-116°c c12  9</v>
      </c>
    </row>
    <row r="149" spans="1:10">
      <c r="A149" t="s">
        <v>10</v>
      </c>
      <c r="B149" s="2">
        <v>1200</v>
      </c>
      <c r="C149" t="s">
        <v>24</v>
      </c>
      <c r="D149" t="s">
        <v>430</v>
      </c>
      <c r="E149" t="s">
        <v>431</v>
      </c>
      <c r="F149" t="s">
        <v>53</v>
      </c>
      <c r="G149" t="s">
        <v>54</v>
      </c>
      <c r="H149" s="3">
        <v>39818.546527777777</v>
      </c>
      <c r="I149" t="str">
        <f ca="1">TEXT(TRUNC(51.6166667), "0" &amp; CHAR(176) &amp; " ") &amp; TEXT(INT((ABS(51.6166667)- INT(ABS(51.6166667)))*60), "0' ") &amp; TEXT(((((ABS(51.6166667)-INT(ABS(51.6166667)))*60)- INT((ABS(51.6166667) - INT(ABS(51.6166667)))*60))*60), " 0''")</f>
        <v>51°c c37  0</v>
      </c>
      <c r="J149" t="str">
        <f ca="1">TEXT(TRUNC(0.3166667), "0" &amp; CHAR(176) &amp; " ") &amp; TEXT(INT((ABS(0.3166667)- INT(ABS(0.3166667)))*60), "0' ") &amp; TEXT(((((ABS(0.3166667)-INT(ABS(0.3166667)))*60)- INT((ABS(0.3166667) - INT(ABS(0.3166667)))*60))*60), " 0''")</f>
        <v>0°c c19  0</v>
      </c>
    </row>
    <row r="150" spans="1:10">
      <c r="A150" t="s">
        <v>10</v>
      </c>
      <c r="B150" s="2">
        <v>1200</v>
      </c>
      <c r="C150" t="s">
        <v>11</v>
      </c>
      <c r="D150" t="s">
        <v>432</v>
      </c>
      <c r="E150" t="s">
        <v>433</v>
      </c>
      <c r="F150" t="s">
        <v>30</v>
      </c>
      <c r="G150" t="s">
        <v>31</v>
      </c>
      <c r="H150" s="3">
        <v>39818.553472222222</v>
      </c>
      <c r="I150" t="str">
        <f ca="1">TEXT(TRUNC(52.3333333), "0" &amp; CHAR(176) &amp; " ") &amp; TEXT(INT((ABS(52.3333333)- INT(ABS(52.3333333)))*60), "0' ") &amp; TEXT(((((ABS(52.3333333)-INT(ABS(52.3333333)))*60)- INT((ABS(52.3333333) - INT(ABS(52.3333333)))*60))*60), " 0''")</f>
        <v>52°c c19  60</v>
      </c>
      <c r="J150" t="str">
        <f ca="1">TEXT(TRUNC(4.7833333), "0" &amp; CHAR(176) &amp; " ") &amp; TEXT(INT((ABS(4.7833333)- INT(ABS(4.7833333)))*60), "0' ") &amp; TEXT(((((ABS(4.7833333)-INT(ABS(4.7833333)))*60)- INT((ABS(4.7833333) - INT(ABS(4.7833333)))*60))*60), " 0''")</f>
        <v>4°c c46  60</v>
      </c>
    </row>
    <row r="151" spans="1:10">
      <c r="A151" t="s">
        <v>10</v>
      </c>
      <c r="B151" s="2">
        <v>1200</v>
      </c>
      <c r="C151" t="s">
        <v>24</v>
      </c>
      <c r="D151" t="s">
        <v>434</v>
      </c>
      <c r="E151" t="s">
        <v>435</v>
      </c>
      <c r="F151" t="s">
        <v>436</v>
      </c>
      <c r="G151" t="s">
        <v>437</v>
      </c>
      <c r="H151" s="3">
        <v>39818.557638888888</v>
      </c>
      <c r="I151" t="str">
        <f ca="1">TEXT(TRUNC(48.2166667), "0" &amp; CHAR(176) &amp; " ") &amp; TEXT(INT((ABS(48.2166667)- INT(ABS(48.2166667)))*60), "0' ") &amp; TEXT(((((ABS(48.2166667)-INT(ABS(48.2166667)))*60)- INT((ABS(48.2166667) - INT(ABS(48.2166667)))*60))*60), " 0''")</f>
        <v>48°c c13  0</v>
      </c>
      <c r="J151" t="str">
        <f ca="1">TEXT(TRUNC(16.3666667), "0" &amp; CHAR(176) &amp; " ") &amp; TEXT(INT((ABS(16.3666667)- INT(ABS(16.3666667)))*60), "0' ") &amp; TEXT(((((ABS(16.3666667)-INT(ABS(16.3666667)))*60)- INT((ABS(16.3666667) - INT(ABS(16.3666667)))*60))*60), " 0''")</f>
        <v>16°c c22  0</v>
      </c>
    </row>
    <row r="152" spans="1:10">
      <c r="A152" t="s">
        <v>10</v>
      </c>
      <c r="B152" s="2">
        <v>1200</v>
      </c>
      <c r="C152" t="s">
        <v>24</v>
      </c>
      <c r="D152" t="s">
        <v>414</v>
      </c>
      <c r="E152" t="s">
        <v>438</v>
      </c>
      <c r="F152" t="s">
        <v>439</v>
      </c>
      <c r="G152" t="s">
        <v>15</v>
      </c>
      <c r="H152" s="3">
        <v>39818.573611111111</v>
      </c>
      <c r="I152" t="str">
        <f ca="1">TEXT(TRUNC(39.56306), "0" &amp; CHAR(176) &amp; " ") &amp; TEXT(INT((ABS(39.56306)- INT(ABS(39.56306)))*60), "0' ") &amp; TEXT(((((ABS(39.56306)-INT(ABS(39.56306)))*60)- INT((ABS(39.56306) - INT(ABS(39.56306)))*60))*60), " 0''")</f>
        <v>39°c c33  47</v>
      </c>
      <c r="J152" t="str">
        <f ca="1">TEXT(TRUNC(-95.12139), "0" &amp; CHAR(176) &amp; " ") &amp; TEXT(INT((ABS(-95.12139)- INT(ABS(-95.12139)))*60), "0' ") &amp; TEXT(((((ABS(-95.12139)-INT(ABS(-95.12139)))*60)- INT((ABS(-95.12139) - INT(ABS(-95.12139)))*60))*60), " 0''")</f>
        <v>-95°c c7  17</v>
      </c>
    </row>
    <row r="153" spans="1:10">
      <c r="A153" t="s">
        <v>10</v>
      </c>
      <c r="B153" s="2">
        <v>1200</v>
      </c>
      <c r="C153" t="s">
        <v>11</v>
      </c>
      <c r="D153" t="s">
        <v>440</v>
      </c>
      <c r="E153" t="s">
        <v>441</v>
      </c>
      <c r="F153" t="s">
        <v>237</v>
      </c>
      <c r="G153" t="s">
        <v>75</v>
      </c>
      <c r="H153" s="3">
        <v>39818.577777777777</v>
      </c>
      <c r="I153" t="str">
        <f ca="1">TEXT(TRUNC(46.5166667), "0" &amp; CHAR(176) &amp; " ") &amp; TEXT(INT((ABS(46.5166667)- INT(ABS(46.5166667)))*60), "0' ") &amp; TEXT(((((ABS(46.5166667)-INT(ABS(46.5166667)))*60)- INT((ABS(46.5166667) - INT(ABS(46.5166667)))*60))*60), " 0''")</f>
        <v>46°c c31  0</v>
      </c>
      <c r="J153" t="str">
        <f ca="1">TEXT(TRUNC(6.5), "0" &amp; CHAR(176) &amp; " ") &amp; TEXT(INT((ABS(6.5)- INT(ABS(6.5)))*60), "0' ") &amp; TEXT(((((ABS(6.5)-INT(ABS(6.5)))*60)- INT((ABS(6.5) - INT(ABS(6.5)))*60))*60), " 0''")</f>
        <v>6°c c30  0</v>
      </c>
    </row>
    <row r="154" spans="1:10">
      <c r="A154" t="s">
        <v>10</v>
      </c>
      <c r="B154" s="2">
        <v>1200</v>
      </c>
      <c r="C154" t="s">
        <v>33</v>
      </c>
      <c r="D154" t="s">
        <v>329</v>
      </c>
      <c r="E154" t="s">
        <v>442</v>
      </c>
      <c r="F154" t="s">
        <v>53</v>
      </c>
      <c r="G154" t="s">
        <v>54</v>
      </c>
      <c r="H154" s="3">
        <v>39818.635416666664</v>
      </c>
      <c r="I154" t="str">
        <f ca="1">TEXT(TRUNC(51.1333333), "0" &amp; CHAR(176) &amp; " ") &amp; TEXT(INT((ABS(51.1333333)- INT(ABS(51.1333333)))*60), "0' ") &amp; TEXT(((((ABS(51.1333333)-INT(ABS(51.1333333)))*60)- INT((ABS(51.1333333) - INT(ABS(51.1333333)))*60))*60), " 0''")</f>
        <v>51°c c7  60</v>
      </c>
      <c r="J154" t="str">
        <f ca="1">TEXT(TRUNC(0.8833333), "0" &amp; CHAR(176) &amp; " ") &amp; TEXT(INT((ABS(0.8833333)- INT(ABS(0.8833333)))*60), "0' ") &amp; TEXT(((((ABS(0.8833333)-INT(ABS(0.8833333)))*60)- INT((ABS(0.8833333) - INT(ABS(0.8833333)))*60))*60), " 0''")</f>
        <v>0°c c52  60</v>
      </c>
    </row>
    <row r="155" spans="1:10">
      <c r="A155" t="s">
        <v>10</v>
      </c>
      <c r="B155" s="2">
        <v>1200</v>
      </c>
      <c r="C155" t="s">
        <v>24</v>
      </c>
      <c r="D155" t="s">
        <v>443</v>
      </c>
      <c r="E155" t="s">
        <v>444</v>
      </c>
      <c r="F155" t="s">
        <v>53</v>
      </c>
      <c r="G155" t="s">
        <v>54</v>
      </c>
      <c r="H155" s="3">
        <v>39818.640972222223</v>
      </c>
      <c r="I155" t="str">
        <f ca="1">TEXT(TRUNC(52.25), "0" &amp; CHAR(176) &amp; " ") &amp; TEXT(INT((ABS(52.25)- INT(ABS(52.25)))*60), "0' ") &amp; TEXT(((((ABS(52.25)-INT(ABS(52.25)))*60)- INT((ABS(52.25) - INT(ABS(52.25)))*60))*60), " 0''")</f>
        <v>52°c c15  0</v>
      </c>
      <c r="J155" t="str">
        <f ca="1">TEXT(TRUNC(-2.7), "0" &amp; CHAR(176) &amp; " ") &amp; TEXT(INT((ABS(-2.7)- INT(ABS(-2.7)))*60), "0' ") &amp; TEXT(((((ABS(-2.7)-INT(ABS(-2.7)))*60)- INT((ABS(-2.7) - INT(ABS(-2.7)))*60))*60), " 0''")</f>
        <v>-2°c c42  0</v>
      </c>
    </row>
    <row r="156" spans="1:10">
      <c r="A156" t="s">
        <v>10</v>
      </c>
      <c r="B156" s="2">
        <v>1200</v>
      </c>
      <c r="C156" t="s">
        <v>24</v>
      </c>
      <c r="D156" t="s">
        <v>445</v>
      </c>
      <c r="E156" t="s">
        <v>446</v>
      </c>
      <c r="F156" t="s">
        <v>45</v>
      </c>
      <c r="G156" t="s">
        <v>15</v>
      </c>
      <c r="H156" s="3">
        <v>39818.652083333334</v>
      </c>
      <c r="I156" t="str">
        <f ca="1">TEXT(TRUNC(26.30972), "0" &amp; CHAR(176) &amp; " ") &amp; TEXT(INT((ABS(26.30972)- INT(ABS(26.30972)))*60), "0' ") &amp; TEXT(((((ABS(26.30972)-INT(ABS(26.30972)))*60)- INT((ABS(26.30972) - INT(ABS(26.30972)))*60))*60), " 0''")</f>
        <v>26°c c18  35</v>
      </c>
      <c r="J156" t="str">
        <f ca="1">TEXT(TRUNC(-80.2375), "0" &amp; CHAR(176) &amp; " ") &amp; TEXT(INT((ABS(-80.2375)- INT(ABS(-80.2375)))*60), "0' ") &amp; TEXT(((((ABS(-80.2375)-INT(ABS(-80.2375)))*60)- INT((ABS(-80.2375) - INT(ABS(-80.2375)))*60))*60), " 0''")</f>
        <v>-80°c c14  15</v>
      </c>
    </row>
    <row r="157" spans="1:10">
      <c r="A157" t="s">
        <v>10</v>
      </c>
      <c r="B157" s="2">
        <v>1200</v>
      </c>
      <c r="C157" t="s">
        <v>24</v>
      </c>
      <c r="D157" t="s">
        <v>447</v>
      </c>
      <c r="E157" t="s">
        <v>448</v>
      </c>
      <c r="F157" t="s">
        <v>304</v>
      </c>
      <c r="G157" t="s">
        <v>81</v>
      </c>
      <c r="H157" s="3">
        <v>39818.704861111109</v>
      </c>
      <c r="I157" t="str">
        <f ca="1">TEXT(TRUNC(45.6), "0" &amp; CHAR(176) &amp; " ") &amp; TEXT(INT((ABS(45.6)- INT(ABS(45.6)))*60), "0' ") &amp; TEXT(((((ABS(45.6)-INT(ABS(45.6)))*60)- INT((ABS(45.6) - INT(ABS(45.6)))*60))*60), " 0''")</f>
        <v>45°c c36  0</v>
      </c>
      <c r="J157" t="str">
        <f ca="1">TEXT(TRUNC(-73.6166667), "0" &amp; CHAR(176) &amp; " ") &amp; TEXT(INT((ABS(-73.6166667)- INT(ABS(-73.6166667)))*60), "0' ") &amp; TEXT(((((ABS(-73.6166667)-INT(ABS(-73.6166667)))*60)- INT((ABS(-73.6166667) - INT(ABS(-73.6166667)))*60))*60), " 0''")</f>
        <v>-73°c c37  0</v>
      </c>
    </row>
    <row r="158" spans="1:10">
      <c r="A158" t="s">
        <v>10</v>
      </c>
      <c r="B158" s="2">
        <v>1200</v>
      </c>
      <c r="C158" t="s">
        <v>24</v>
      </c>
      <c r="D158" t="s">
        <v>46</v>
      </c>
      <c r="E158" t="s">
        <v>449</v>
      </c>
      <c r="F158" t="s">
        <v>152</v>
      </c>
      <c r="G158" t="s">
        <v>15</v>
      </c>
      <c r="H158" s="3">
        <v>39818.788194444445</v>
      </c>
      <c r="I158" t="str">
        <f ca="1">TEXT(TRUNC(38.94222), "0" &amp; CHAR(176) &amp; " ") &amp; TEXT(INT((ABS(38.94222)- INT(ABS(38.94222)))*60), "0' ") &amp; TEXT(((((ABS(38.94222)-INT(ABS(38.94222)))*60)- INT((ABS(38.94222) - INT(ABS(38.94222)))*60))*60), " 0''")</f>
        <v>38°c c56  32</v>
      </c>
      <c r="J158" t="str">
        <f ca="1">TEXT(TRUNC(-77.1825), "0" &amp; CHAR(176) &amp; " ") &amp; TEXT(INT((ABS(-77.1825)- INT(ABS(-77.1825)))*60), "0' ") &amp; TEXT(((((ABS(-77.1825)-INT(ABS(-77.1825)))*60)- INT((ABS(-77.1825) - INT(ABS(-77.1825)))*60))*60), " 0''")</f>
        <v>-77°c c10  57</v>
      </c>
    </row>
    <row r="159" spans="1:10">
      <c r="A159" t="s">
        <v>10</v>
      </c>
      <c r="B159" s="2">
        <v>1200</v>
      </c>
      <c r="C159" t="s">
        <v>24</v>
      </c>
      <c r="D159" t="s">
        <v>450</v>
      </c>
      <c r="E159" t="s">
        <v>451</v>
      </c>
      <c r="F159" t="s">
        <v>394</v>
      </c>
      <c r="G159" t="s">
        <v>75</v>
      </c>
      <c r="H159" s="3">
        <v>39818.80972222222</v>
      </c>
      <c r="I159" t="str">
        <f ca="1">TEXT(TRUNC(47.3), "0" &amp; CHAR(176) &amp; " ") &amp; TEXT(INT((ABS(47.3)- INT(ABS(47.3)))*60), "0' ") &amp; TEXT(((((ABS(47.3)-INT(ABS(47.3)))*60)- INT((ABS(47.3) - INT(ABS(47.3)))*60))*60), " 0''")</f>
        <v>47°c c17  60</v>
      </c>
      <c r="J159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160" spans="1:10">
      <c r="A160" t="s">
        <v>10</v>
      </c>
      <c r="B160" s="2">
        <v>1200</v>
      </c>
      <c r="C160" t="s">
        <v>24</v>
      </c>
      <c r="D160" t="s">
        <v>452</v>
      </c>
      <c r="E160" t="s">
        <v>413</v>
      </c>
      <c r="F160" t="s">
        <v>152</v>
      </c>
      <c r="G160" t="s">
        <v>15</v>
      </c>
      <c r="H160" s="3">
        <v>39818.811805555553</v>
      </c>
      <c r="I160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160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161" spans="1:10">
      <c r="A161" t="s">
        <v>10</v>
      </c>
      <c r="B161" s="2">
        <v>1200</v>
      </c>
      <c r="C161" t="s">
        <v>33</v>
      </c>
      <c r="D161" t="s">
        <v>453</v>
      </c>
      <c r="E161" t="s">
        <v>454</v>
      </c>
      <c r="F161" t="s">
        <v>455</v>
      </c>
      <c r="G161" t="s">
        <v>15</v>
      </c>
      <c r="H161" s="3">
        <v>39818.817361111112</v>
      </c>
      <c r="I161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161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162" spans="1:10">
      <c r="A162" t="s">
        <v>10</v>
      </c>
      <c r="B162" s="2">
        <v>1200</v>
      </c>
      <c r="C162" t="s">
        <v>11</v>
      </c>
      <c r="D162" t="s">
        <v>378</v>
      </c>
      <c r="E162" t="s">
        <v>458</v>
      </c>
      <c r="F162" t="s">
        <v>459</v>
      </c>
      <c r="G162" t="s">
        <v>15</v>
      </c>
      <c r="H162" s="3">
        <v>39818.879166666666</v>
      </c>
      <c r="I162" t="str">
        <f ca="1">TEXT(TRUNC(38.25417), "0" &amp; CHAR(176) &amp; " ") &amp; TEXT(INT((ABS(38.25417)- INT(ABS(38.25417)))*60), "0' ") &amp; TEXT(((((ABS(38.25417)-INT(ABS(38.25417)))*60)- INT((ABS(38.25417) - INT(ABS(38.25417)))*60))*60), " 0''")</f>
        <v>38°c c15  15</v>
      </c>
      <c r="J162" t="str">
        <f ca="1">TEXT(TRUNC(-85.75944), "0" &amp; CHAR(176) &amp; " ") &amp; TEXT(INT((ABS(-85.75944)- INT(ABS(-85.75944)))*60), "0' ") &amp; TEXT(((((ABS(-85.75944)-INT(ABS(-85.75944)))*60)- INT((ABS(-85.75944) - INT(ABS(-85.75944)))*60))*60), " 0''")</f>
        <v>-85°c c45  34</v>
      </c>
    </row>
    <row r="163" spans="1:10">
      <c r="A163" t="s">
        <v>10</v>
      </c>
      <c r="B163" s="2">
        <v>1200</v>
      </c>
      <c r="C163" t="s">
        <v>11</v>
      </c>
      <c r="D163" t="s">
        <v>460</v>
      </c>
      <c r="E163" t="s">
        <v>461</v>
      </c>
      <c r="F163" t="s">
        <v>48</v>
      </c>
      <c r="G163" t="s">
        <v>49</v>
      </c>
      <c r="H163" s="3">
        <v>39819.055555555555</v>
      </c>
      <c r="I163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163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164" spans="1:10">
      <c r="A164" t="s">
        <v>10</v>
      </c>
      <c r="B164" s="2">
        <v>1200</v>
      </c>
      <c r="C164" t="s">
        <v>24</v>
      </c>
      <c r="D164" t="s">
        <v>462</v>
      </c>
      <c r="E164" t="s">
        <v>186</v>
      </c>
      <c r="F164" t="s">
        <v>187</v>
      </c>
      <c r="G164" t="s">
        <v>49</v>
      </c>
      <c r="H164" s="3">
        <v>39819.111805555556</v>
      </c>
      <c r="I164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164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165" spans="1:10">
      <c r="A165" t="s">
        <v>10</v>
      </c>
      <c r="B165" s="2">
        <v>1200</v>
      </c>
      <c r="C165" t="s">
        <v>24</v>
      </c>
      <c r="D165" t="s">
        <v>463</v>
      </c>
      <c r="E165" t="s">
        <v>464</v>
      </c>
      <c r="F165" t="s">
        <v>465</v>
      </c>
      <c r="G165" t="s">
        <v>85</v>
      </c>
      <c r="H165" s="3">
        <v>39819.152083333334</v>
      </c>
      <c r="I165" t="str">
        <f ca="1">TEXT(TRUNC(60.3911111), "0" &amp; CHAR(176) &amp; " ") &amp; TEXT(INT((ABS(60.3911111)- INT(ABS(60.3911111)))*60), "0' ") &amp; TEXT(((((ABS(60.3911111)-INT(ABS(60.3911111)))*60)- INT((ABS(60.3911111) - INT(ABS(60.3911111)))*60))*60), " 0''")</f>
        <v>60°c c23  28</v>
      </c>
      <c r="J165" t="str">
        <f ca="1">TEXT(TRUNC(5.3247222), "0" &amp; CHAR(176) &amp; " ") &amp; TEXT(INT((ABS(5.3247222)- INT(ABS(5.3247222)))*60), "0' ") &amp; TEXT(((((ABS(5.3247222)-INT(ABS(5.3247222)))*60)- INT((ABS(5.3247222) - INT(ABS(5.3247222)))*60))*60), " 0''")</f>
        <v>5°c c19  29</v>
      </c>
    </row>
    <row r="166" spans="1:10">
      <c r="A166" t="s">
        <v>10</v>
      </c>
      <c r="B166" s="2">
        <v>1200</v>
      </c>
      <c r="C166" t="s">
        <v>24</v>
      </c>
      <c r="D166" t="s">
        <v>466</v>
      </c>
      <c r="E166" t="s">
        <v>467</v>
      </c>
      <c r="F166" t="s">
        <v>130</v>
      </c>
      <c r="G166" t="s">
        <v>54</v>
      </c>
      <c r="H166" s="3">
        <v>39819.179166666669</v>
      </c>
      <c r="I166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166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167" spans="1:10">
      <c r="A167" t="s">
        <v>10</v>
      </c>
      <c r="B167" s="2">
        <v>1200</v>
      </c>
      <c r="C167" t="s">
        <v>50</v>
      </c>
      <c r="D167" t="s">
        <v>468</v>
      </c>
      <c r="E167" t="s">
        <v>469</v>
      </c>
      <c r="F167" t="s">
        <v>470</v>
      </c>
      <c r="G167" t="s">
        <v>360</v>
      </c>
      <c r="H167" s="3">
        <v>39819.209722222222</v>
      </c>
      <c r="I167" t="str">
        <f ca="1">TEXT(TRUNC(17.3833333), "0" &amp; CHAR(176) &amp; " ") &amp; TEXT(INT((ABS(17.3833333)- INT(ABS(17.3833333)))*60), "0' ") &amp; TEXT(((((ABS(17.3833333)-INT(ABS(17.3833333)))*60)- INT((ABS(17.3833333) - INT(ABS(17.3833333)))*60))*60), " 0''")</f>
        <v>17°c c22  60</v>
      </c>
      <c r="J167" t="str">
        <f ca="1">TEXT(TRUNC(78.4666667), "0" &amp; CHAR(176) &amp; " ") &amp; TEXT(INT((ABS(78.4666667)- INT(ABS(78.4666667)))*60), "0' ") &amp; TEXT(((((ABS(78.4666667)-INT(ABS(78.4666667)))*60)- INT((ABS(78.4666667) - INT(ABS(78.4666667)))*60))*60), " 0''")</f>
        <v>78°c c28  0</v>
      </c>
    </row>
    <row r="168" spans="1:10">
      <c r="A168" t="s">
        <v>10</v>
      </c>
      <c r="B168" s="2">
        <v>1200</v>
      </c>
      <c r="C168" t="s">
        <v>24</v>
      </c>
      <c r="D168" t="s">
        <v>471</v>
      </c>
      <c r="E168" t="s">
        <v>472</v>
      </c>
      <c r="F168" t="s">
        <v>473</v>
      </c>
      <c r="G168" t="s">
        <v>437</v>
      </c>
      <c r="H168" s="3">
        <v>39819.215277777781</v>
      </c>
      <c r="I168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168" t="str">
        <f ca="1">TEXT(TRUNC(15.9166667), "0" &amp; CHAR(176) &amp; " ") &amp; TEXT(INT((ABS(15.9166667)- INT(ABS(15.9166667)))*60), "0' ") &amp; TEXT(((((ABS(15.9166667)-INT(ABS(15.9166667)))*60)- INT((ABS(15.9166667) - INT(ABS(15.9166667)))*60))*60), " 0''")</f>
        <v>15°c c55  0</v>
      </c>
    </row>
    <row r="169" spans="1:10">
      <c r="A169" t="s">
        <v>10</v>
      </c>
      <c r="B169" s="2">
        <v>1200</v>
      </c>
      <c r="C169" t="s">
        <v>33</v>
      </c>
      <c r="D169" t="s">
        <v>474</v>
      </c>
      <c r="E169" t="s">
        <v>475</v>
      </c>
      <c r="F169" t="s">
        <v>476</v>
      </c>
      <c r="G169" t="s">
        <v>15</v>
      </c>
      <c r="H169" s="3">
        <v>39819.2375</v>
      </c>
      <c r="I169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169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170" spans="1:10">
      <c r="A170" t="s">
        <v>10</v>
      </c>
      <c r="B170" s="2">
        <v>1200</v>
      </c>
      <c r="C170" t="s">
        <v>24</v>
      </c>
      <c r="D170" t="s">
        <v>268</v>
      </c>
      <c r="E170" t="s">
        <v>425</v>
      </c>
      <c r="F170" t="s">
        <v>234</v>
      </c>
      <c r="G170" t="s">
        <v>19</v>
      </c>
      <c r="H170" s="3">
        <v>39819.254861111112</v>
      </c>
      <c r="I170" t="str">
        <f ca="1">TEXT(TRUNC(55.8841667), "0" &amp; CHAR(176) &amp; " ") &amp; TEXT(INT((ABS(55.8841667)- INT(ABS(55.8841667)))*60), "0' ") &amp; TEXT(((((ABS(55.8841667)-INT(ABS(55.8841667)))*60)- INT((ABS(55.8841667) - INT(ABS(55.8841667)))*60))*60), " 0''")</f>
        <v>55°c c53  3</v>
      </c>
      <c r="J170" t="str">
        <f ca="1">TEXT(TRUNC(12.5419444), "0" &amp; CHAR(176) &amp; " ") &amp; TEXT(INT((ABS(12.5419444)- INT(ABS(12.5419444)))*60), "0' ") &amp; TEXT(((((ABS(12.5419444)-INT(ABS(12.5419444)))*60)- INT((ABS(12.5419444) - INT(ABS(12.5419444)))*60))*60), " 0''")</f>
        <v>12°c c32  31</v>
      </c>
    </row>
    <row r="171" spans="1:10">
      <c r="A171" t="s">
        <v>10</v>
      </c>
      <c r="B171" s="2">
        <v>1200</v>
      </c>
      <c r="C171" t="s">
        <v>24</v>
      </c>
      <c r="D171" t="s">
        <v>477</v>
      </c>
      <c r="E171" t="s">
        <v>478</v>
      </c>
      <c r="F171" t="s">
        <v>479</v>
      </c>
      <c r="G171" t="s">
        <v>480</v>
      </c>
      <c r="H171" s="3">
        <v>39819.271527777775</v>
      </c>
      <c r="I171" t="str">
        <f ca="1">TEXT(TRUNC(50.4666667), "0" &amp; CHAR(176) &amp; " ") &amp; TEXT(INT((ABS(50.4666667)- INT(ABS(50.4666667)))*60), "0' ") &amp; TEXT(((((ABS(50.4666667)-INT(ABS(50.4666667)))*60)- INT((ABS(50.4666667) - INT(ABS(50.4666667)))*60))*60), " 0''")</f>
        <v>50°c c28  0</v>
      </c>
      <c r="J171" t="str">
        <f ca="1">TEXT(TRUNC(4.1833333), "0" &amp; CHAR(176) &amp; " ") &amp; TEXT(INT((ABS(4.1833333)- INT(ABS(4.1833333)))*60), "0' ") &amp; TEXT(((((ABS(4.1833333)-INT(ABS(4.1833333)))*60)- INT((ABS(4.1833333) - INT(ABS(4.1833333)))*60))*60), " 0''")</f>
        <v>4°c c10  60</v>
      </c>
    </row>
    <row r="172" spans="1:10">
      <c r="A172" t="s">
        <v>10</v>
      </c>
      <c r="B172" s="2">
        <v>1200</v>
      </c>
      <c r="C172" t="s">
        <v>24</v>
      </c>
      <c r="D172" t="s">
        <v>481</v>
      </c>
      <c r="E172" t="s">
        <v>482</v>
      </c>
      <c r="F172" t="s">
        <v>57</v>
      </c>
      <c r="G172" t="s">
        <v>15</v>
      </c>
      <c r="H172" s="3">
        <v>39819.304166666669</v>
      </c>
      <c r="I172" t="str">
        <f ca="1">TEXT(TRUNC(32.64), "0" &amp; CHAR(176) &amp; " ") &amp; TEXT(INT((ABS(32.64)- INT(ABS(32.64)))*60), "0' ") &amp; TEXT(((((ABS(32.64)-INT(ABS(32.64)))*60)- INT((ABS(32.64) - INT(ABS(32.64)))*60))*60), " 0''")</f>
        <v>32°c c38  24</v>
      </c>
      <c r="J172" t="str">
        <f ca="1">TEXT(TRUNC(-117.08333), "0" &amp; CHAR(176) &amp; " ") &amp; TEXT(INT((ABS(-117.08333)- INT(ABS(-117.08333)))*60), "0' ") &amp; TEXT(((((ABS(-117.08333)-INT(ABS(-117.08333)))*60)- INT((ABS(-117.08333) - INT(ABS(-117.08333)))*60))*60), " 0''")</f>
        <v>-117°c c4  60</v>
      </c>
    </row>
    <row r="173" spans="1:10">
      <c r="A173" t="s">
        <v>10</v>
      </c>
      <c r="B173" s="2">
        <v>1200</v>
      </c>
      <c r="C173" t="s">
        <v>24</v>
      </c>
      <c r="D173" t="s">
        <v>483</v>
      </c>
      <c r="E173" t="s">
        <v>484</v>
      </c>
      <c r="F173" t="s">
        <v>80</v>
      </c>
      <c r="G173" t="s">
        <v>81</v>
      </c>
      <c r="H173" s="3">
        <v>39819.307638888888</v>
      </c>
      <c r="I173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173" t="str">
        <f ca="1">TEXT(TRUNC(-113.9666667), "0" &amp; CHAR(176) &amp; " ") &amp; TEXT(INT((ABS(-113.9666667)- INT(ABS(-113.9666667)))*60), "0' ") &amp; TEXT(((((ABS(-113.9666667)-INT(ABS(-113.9666667)))*60)- INT((ABS(-113.9666667) - INT(ABS(-113.9666667)))*60))*60), " 0''")</f>
        <v>-113°c c58  0</v>
      </c>
    </row>
    <row r="174" spans="1:10">
      <c r="A174" t="s">
        <v>10</v>
      </c>
      <c r="B174" s="2">
        <v>1200</v>
      </c>
      <c r="C174" t="s">
        <v>33</v>
      </c>
      <c r="D174" t="s">
        <v>195</v>
      </c>
      <c r="E174" t="s">
        <v>486</v>
      </c>
      <c r="F174" t="s">
        <v>152</v>
      </c>
      <c r="G174" t="s">
        <v>15</v>
      </c>
      <c r="H174" s="3">
        <v>39819.323611111111</v>
      </c>
      <c r="I174" t="str">
        <f ca="1">TEXT(TRUNC(38.96861), "0" &amp; CHAR(176) &amp; " ") &amp; TEXT(INT((ABS(38.96861)- INT(ABS(38.96861)))*60), "0' ") &amp; TEXT(((((ABS(38.96861)-INT(ABS(38.96861)))*60)- INT((ABS(38.96861) - INT(ABS(38.96861)))*60))*60), " 0''")</f>
        <v>38°c c58  7</v>
      </c>
      <c r="J174" t="str">
        <f ca="1">TEXT(TRUNC(-77.34139), "0" &amp; CHAR(176) &amp; " ") &amp; TEXT(INT((ABS(-77.34139)- INT(ABS(-77.34139)))*60), "0' ") &amp; TEXT(((((ABS(-77.34139)-INT(ABS(-77.34139)))*60)- INT((ABS(-77.34139) - INT(ABS(-77.34139)))*60))*60), " 0''")</f>
        <v>-77°c c20  29</v>
      </c>
    </row>
    <row r="175" spans="1:10">
      <c r="A175" t="s">
        <v>10</v>
      </c>
      <c r="B175" s="2">
        <v>1200</v>
      </c>
      <c r="C175" t="s">
        <v>24</v>
      </c>
      <c r="D175" t="s">
        <v>487</v>
      </c>
      <c r="E175" t="s">
        <v>488</v>
      </c>
      <c r="F175" t="s">
        <v>27</v>
      </c>
      <c r="G175" t="s">
        <v>15</v>
      </c>
      <c r="H175" s="3">
        <v>39819.356944444444</v>
      </c>
      <c r="I175" t="str">
        <f ca="1">TEXT(TRUNC(32.78333), "0" &amp; CHAR(176) &amp; " ") &amp; TEXT(INT((ABS(32.78333)- INT(ABS(32.78333)))*60), "0' ") &amp; TEXT(((((ABS(32.78333)-INT(ABS(32.78333)))*60)- INT((ABS(32.78333) - INT(ABS(32.78333)))*60))*60), " 0''")</f>
        <v>32°c c46  60</v>
      </c>
      <c r="J175" t="str">
        <f ca="1">TEXT(TRUNC(-96.8), "0" &amp; CHAR(176) &amp; " ") &amp; TEXT(INT((ABS(-96.8)- INT(ABS(-96.8)))*60), "0' ") &amp; TEXT(((((ABS(-96.8)-INT(ABS(-96.8)))*60)- INT((ABS(-96.8) - INT(ABS(-96.8)))*60))*60), " 0''")</f>
        <v>-96°c c47  60</v>
      </c>
    </row>
    <row r="176" spans="1:10">
      <c r="A176" t="s">
        <v>10</v>
      </c>
      <c r="B176" s="2">
        <v>1200</v>
      </c>
      <c r="C176" t="s">
        <v>24</v>
      </c>
      <c r="D176" t="s">
        <v>489</v>
      </c>
      <c r="E176" t="s">
        <v>490</v>
      </c>
      <c r="F176" t="s">
        <v>57</v>
      </c>
      <c r="G176" t="s">
        <v>15</v>
      </c>
      <c r="H176" s="3">
        <v>39819.396527777775</v>
      </c>
      <c r="I176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176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177" spans="1:10">
      <c r="A177" t="s">
        <v>10</v>
      </c>
      <c r="B177" s="2">
        <v>1200</v>
      </c>
      <c r="C177" t="s">
        <v>50</v>
      </c>
      <c r="D177" t="s">
        <v>491</v>
      </c>
      <c r="E177" t="s">
        <v>492</v>
      </c>
      <c r="F177" t="s">
        <v>14</v>
      </c>
      <c r="G177" t="s">
        <v>15</v>
      </c>
      <c r="H177" s="3">
        <v>39819.40625</v>
      </c>
      <c r="I177" t="str">
        <f ca="1">TEXT(TRUNC(40.66417), "0" &amp; CHAR(176) &amp; " ") &amp; TEXT(INT((ABS(40.66417)- INT(ABS(40.66417)))*60), "0' ") &amp; TEXT(((((ABS(40.66417)-INT(ABS(40.66417)))*60)- INT((ABS(40.66417) - INT(ABS(40.66417)))*60))*60), " 0''")</f>
        <v>40°c c39  51</v>
      </c>
      <c r="J177" t="str">
        <f ca="1">TEXT(TRUNC(-73.70889), "0" &amp; CHAR(176) &amp; " ") &amp; TEXT(INT((ABS(-73.70889)- INT(ABS(-73.70889)))*60), "0' ") &amp; TEXT(((((ABS(-73.70889)-INT(ABS(-73.70889)))*60)- INT((ABS(-73.70889) - INT(ABS(-73.70889)))*60))*60), " 0''")</f>
        <v>-73°c c42  32</v>
      </c>
    </row>
    <row r="178" spans="1:10">
      <c r="A178" t="s">
        <v>10</v>
      </c>
      <c r="B178" s="2">
        <v>1200</v>
      </c>
      <c r="C178" t="s">
        <v>11</v>
      </c>
      <c r="D178" t="s">
        <v>483</v>
      </c>
      <c r="E178" t="s">
        <v>332</v>
      </c>
      <c r="F178" t="s">
        <v>57</v>
      </c>
      <c r="G178" t="s">
        <v>15</v>
      </c>
      <c r="H178" s="3">
        <v>39819.411111111112</v>
      </c>
      <c r="I178" t="str">
        <f ca="1">TEXT(TRUNC(37.88583), "0" &amp; CHAR(176) &amp; " ") &amp; TEXT(INT((ABS(37.88583)- INT(ABS(37.88583)))*60), "0' ") &amp; TEXT(((((ABS(37.88583)-INT(ABS(37.88583)))*60)- INT((ABS(37.88583) - INT(ABS(37.88583)))*60))*60), " 0''")</f>
        <v>37°c c53  9</v>
      </c>
      <c r="J178" t="str">
        <f ca="1">TEXT(TRUNC(-122.11694), "0" &amp; CHAR(176) &amp; " ") &amp; TEXT(INT((ABS(-122.11694)- INT(ABS(-122.11694)))*60), "0' ") &amp; TEXT(((((ABS(-122.11694)-INT(ABS(-122.11694)))*60)- INT((ABS(-122.11694) - INT(ABS(-122.11694)))*60))*60), " 0''")</f>
        <v>-122°c c7  1</v>
      </c>
    </row>
    <row r="179" spans="1:10">
      <c r="A179" t="s">
        <v>10</v>
      </c>
      <c r="B179" s="2">
        <v>1200</v>
      </c>
      <c r="C179" t="s">
        <v>11</v>
      </c>
      <c r="D179" t="s">
        <v>493</v>
      </c>
      <c r="E179" t="s">
        <v>251</v>
      </c>
      <c r="F179" t="s">
        <v>252</v>
      </c>
      <c r="G179" t="s">
        <v>81</v>
      </c>
      <c r="H179" s="3">
        <v>39819.413194444445</v>
      </c>
      <c r="I179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79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180" spans="1:10">
      <c r="A180" t="s">
        <v>10</v>
      </c>
      <c r="B180" s="2">
        <v>1200</v>
      </c>
      <c r="C180" t="s">
        <v>11</v>
      </c>
      <c r="D180" t="s">
        <v>219</v>
      </c>
      <c r="E180" t="s">
        <v>362</v>
      </c>
      <c r="F180" t="s">
        <v>14</v>
      </c>
      <c r="G180" t="s">
        <v>15</v>
      </c>
      <c r="H180" s="3">
        <v>39819.44027777778</v>
      </c>
      <c r="I180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80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81" spans="1:10">
      <c r="A181" t="s">
        <v>10</v>
      </c>
      <c r="B181" s="2">
        <v>1200</v>
      </c>
      <c r="C181" t="s">
        <v>11</v>
      </c>
      <c r="D181" t="s">
        <v>494</v>
      </c>
      <c r="E181" t="s">
        <v>495</v>
      </c>
      <c r="F181" t="s">
        <v>179</v>
      </c>
      <c r="G181" t="s">
        <v>15</v>
      </c>
      <c r="H181" s="3">
        <v>39819.45</v>
      </c>
      <c r="I181" t="str">
        <f ca="1">TEXT(TRUNC(40.63667), "0" &amp; CHAR(176) &amp; " ") &amp; TEXT(INT((ABS(40.63667)- INT(ABS(40.63667)))*60), "0' ") &amp; TEXT(((((ABS(40.63667)-INT(ABS(40.63667)))*60)- INT((ABS(40.63667) - INT(ABS(40.63667)))*60))*60), " 0''")</f>
        <v>40°c c38  12</v>
      </c>
      <c r="J181" t="str">
        <f ca="1">TEXT(TRUNC(-74.91028), "0" &amp; CHAR(176) &amp; " ") &amp; TEXT(INT((ABS(-74.91028)- INT(ABS(-74.91028)))*60), "0' ") &amp; TEXT(((((ABS(-74.91028)-INT(ABS(-74.91028)))*60)- INT((ABS(-74.91028) - INT(ABS(-74.91028)))*60))*60), " 0''")</f>
        <v>-74°c c54  37</v>
      </c>
    </row>
    <row r="182" spans="1:10">
      <c r="A182" t="s">
        <v>10</v>
      </c>
      <c r="B182" s="2">
        <v>1200</v>
      </c>
      <c r="C182" t="s">
        <v>24</v>
      </c>
      <c r="D182" t="s">
        <v>498</v>
      </c>
      <c r="E182" t="s">
        <v>499</v>
      </c>
      <c r="F182" t="s">
        <v>190</v>
      </c>
      <c r="G182" t="s">
        <v>15</v>
      </c>
      <c r="H182" s="3">
        <v>39819.518055555556</v>
      </c>
      <c r="I182" t="str">
        <f ca="1">TEXT(TRUNC(42.375), "0" &amp; CHAR(176) &amp; " ") &amp; TEXT(INT((ABS(42.375)- INT(ABS(42.375)))*60), "0' ") &amp; TEXT(((((ABS(42.375)-INT(ABS(42.375)))*60)- INT((ABS(42.375) - INT(ABS(42.375)))*60))*60), " 0''")</f>
        <v>42°c c22  30</v>
      </c>
      <c r="J182" t="str">
        <f ca="1">TEXT(TRUNC(-71.10611), "0" &amp; CHAR(176) &amp; " ") &amp; TEXT(INT((ABS(-71.10611)- INT(ABS(-71.10611)))*60), "0' ") &amp; TEXT(((((ABS(-71.10611)-INT(ABS(-71.10611)))*60)- INT((ABS(-71.10611) - INT(ABS(-71.10611)))*60))*60), " 0''")</f>
        <v>-71°c c6  22</v>
      </c>
    </row>
    <row r="183" spans="1:10">
      <c r="A183" t="s">
        <v>10</v>
      </c>
      <c r="B183" s="2">
        <v>1200</v>
      </c>
      <c r="C183" t="s">
        <v>11</v>
      </c>
      <c r="D183" t="s">
        <v>500</v>
      </c>
      <c r="E183" t="s">
        <v>29</v>
      </c>
      <c r="F183" t="s">
        <v>30</v>
      </c>
      <c r="G183" t="s">
        <v>31</v>
      </c>
      <c r="H183" s="3">
        <v>39819.51875</v>
      </c>
      <c r="I183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183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184" spans="1:10">
      <c r="A184" t="s">
        <v>10</v>
      </c>
      <c r="B184" s="2">
        <v>1200</v>
      </c>
      <c r="C184" t="s">
        <v>24</v>
      </c>
      <c r="D184" t="s">
        <v>503</v>
      </c>
      <c r="E184" t="s">
        <v>504</v>
      </c>
      <c r="F184" t="s">
        <v>53</v>
      </c>
      <c r="G184" t="s">
        <v>54</v>
      </c>
      <c r="H184" s="3">
        <v>39819.538888888892</v>
      </c>
      <c r="I184" t="str">
        <f ca="1">TEXT(TRUNC(53.5), "0" &amp; CHAR(176) &amp; " ") &amp; TEXT(INT((ABS(53.5)- INT(ABS(53.5)))*60), "0' ") &amp; TEXT(((((ABS(53.5)-INT(ABS(53.5)))*60)- INT((ABS(53.5) - INT(ABS(53.5)))*60))*60), " 0''")</f>
        <v>53°c c30  0</v>
      </c>
      <c r="J184" t="str">
        <f ca="1">TEXT(TRUNC(-2.2166667), "0" &amp; CHAR(176) &amp; " ") &amp; TEXT(INT((ABS(-2.2166667)- INT(ABS(-2.2166667)))*60), "0' ") &amp; TEXT(((((ABS(-2.2166667)-INT(ABS(-2.2166667)))*60)- INT((ABS(-2.2166667) - INT(ABS(-2.2166667)))*60))*60), " 0''")</f>
        <v>-2°c c13  0</v>
      </c>
    </row>
    <row r="185" spans="1:10">
      <c r="A185" t="s">
        <v>10</v>
      </c>
      <c r="B185" s="2">
        <v>1200</v>
      </c>
      <c r="C185" t="s">
        <v>24</v>
      </c>
      <c r="D185" t="s">
        <v>505</v>
      </c>
      <c r="E185" t="s">
        <v>362</v>
      </c>
      <c r="F185" t="s">
        <v>14</v>
      </c>
      <c r="G185" t="s">
        <v>15</v>
      </c>
      <c r="H185" s="3">
        <v>39819.585416666669</v>
      </c>
      <c r="I185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185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186" spans="1:10">
      <c r="A186" t="s">
        <v>10</v>
      </c>
      <c r="B186" s="2">
        <v>1200</v>
      </c>
      <c r="C186" t="s">
        <v>11</v>
      </c>
      <c r="D186" t="s">
        <v>114</v>
      </c>
      <c r="E186" t="s">
        <v>506</v>
      </c>
      <c r="F186" t="s">
        <v>507</v>
      </c>
      <c r="G186" t="s">
        <v>480</v>
      </c>
      <c r="H186" s="3">
        <v>39819.588888888888</v>
      </c>
      <c r="I18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18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187" spans="1:10">
      <c r="A187" t="s">
        <v>10</v>
      </c>
      <c r="B187" s="2">
        <v>1200</v>
      </c>
      <c r="C187" t="s">
        <v>50</v>
      </c>
      <c r="D187" t="s">
        <v>508</v>
      </c>
      <c r="E187" t="s">
        <v>243</v>
      </c>
      <c r="F187" t="s">
        <v>244</v>
      </c>
      <c r="G187" t="s">
        <v>15</v>
      </c>
      <c r="H187" s="3">
        <v>39819.607638888891</v>
      </c>
      <c r="I187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187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188" spans="1:10">
      <c r="A188" t="s">
        <v>10</v>
      </c>
      <c r="B188" s="2">
        <v>1200</v>
      </c>
      <c r="C188" t="s">
        <v>33</v>
      </c>
      <c r="D188" t="s">
        <v>509</v>
      </c>
      <c r="E188" t="s">
        <v>510</v>
      </c>
      <c r="F188" t="s">
        <v>476</v>
      </c>
      <c r="G188" t="s">
        <v>15</v>
      </c>
      <c r="H188" s="3">
        <v>39819.633333333331</v>
      </c>
      <c r="I188" t="str">
        <f ca="1">TEXT(TRUNC(34.02306), "0" &amp; CHAR(176) &amp; " ") &amp; TEXT(INT((ABS(34.02306)- INT(ABS(34.02306)))*60), "0' ") &amp; TEXT(((((ABS(34.02306)-INT(ABS(34.02306)))*60)- INT((ABS(34.02306) - INT(ABS(34.02306)))*60))*60), " 0''")</f>
        <v>34°c c1  23</v>
      </c>
      <c r="J188" t="str">
        <f ca="1">TEXT(TRUNC(-84.36167), "0" &amp; CHAR(176) &amp; " ") &amp; TEXT(INT((ABS(-84.36167)- INT(ABS(-84.36167)))*60), "0' ") &amp; TEXT(((((ABS(-84.36167)-INT(ABS(-84.36167)))*60)- INT((ABS(-84.36167) - INT(ABS(-84.36167)))*60))*60), " 0''")</f>
        <v>-84°c c21  42</v>
      </c>
    </row>
    <row r="189" spans="1:10">
      <c r="A189" t="s">
        <v>10</v>
      </c>
      <c r="B189" s="2">
        <v>1200</v>
      </c>
      <c r="C189" t="s">
        <v>11</v>
      </c>
      <c r="D189" t="s">
        <v>511</v>
      </c>
      <c r="E189" t="s">
        <v>512</v>
      </c>
      <c r="F189" t="s">
        <v>513</v>
      </c>
      <c r="G189" t="s">
        <v>65</v>
      </c>
      <c r="H189" s="3">
        <v>39819.635416666664</v>
      </c>
      <c r="I189" t="str">
        <f ca="1">TEXT(TRUNC(53.3122222), "0" &amp; CHAR(176) &amp; " ") &amp; TEXT(INT((ABS(53.3122222)- INT(ABS(53.3122222)))*60), "0' ") &amp; TEXT(((((ABS(53.3122222)-INT(ABS(53.3122222)))*60)- INT((ABS(53.3122222) - INT(ABS(53.3122222)))*60))*60), " 0''")</f>
        <v>53°c c18  44</v>
      </c>
      <c r="J189" t="str">
        <f ca="1">TEXT(TRUNC(-6.2683333), "0" &amp; CHAR(176) &amp; " ") &amp; TEXT(INT((ABS(-6.2683333)- INT(ABS(-6.2683333)))*60), "0' ") &amp; TEXT(((((ABS(-6.2683333)-INT(ABS(-6.2683333)))*60)- INT((ABS(-6.2683333) - INT(ABS(-6.2683333)))*60))*60), " 0''")</f>
        <v>-6°c c16  6</v>
      </c>
    </row>
    <row r="190" spans="1:10">
      <c r="A190" t="s">
        <v>10</v>
      </c>
      <c r="B190" s="2">
        <v>1200</v>
      </c>
      <c r="C190" t="s">
        <v>24</v>
      </c>
      <c r="D190" t="s">
        <v>514</v>
      </c>
      <c r="E190" t="s">
        <v>515</v>
      </c>
      <c r="F190" t="s">
        <v>27</v>
      </c>
      <c r="G190" t="s">
        <v>15</v>
      </c>
      <c r="H190" s="3">
        <v>39819.671527777777</v>
      </c>
      <c r="I190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190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191" spans="1:10">
      <c r="A191" t="s">
        <v>10</v>
      </c>
      <c r="B191" s="2">
        <v>1200</v>
      </c>
      <c r="C191" t="s">
        <v>24</v>
      </c>
      <c r="D191" t="s">
        <v>518</v>
      </c>
      <c r="E191" t="s">
        <v>519</v>
      </c>
      <c r="F191" t="s">
        <v>27</v>
      </c>
      <c r="G191" t="s">
        <v>15</v>
      </c>
      <c r="H191" s="3">
        <v>39819.692361111112</v>
      </c>
      <c r="I191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191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192" spans="1:10">
      <c r="A192" t="s">
        <v>10</v>
      </c>
      <c r="B192" s="2">
        <v>1200</v>
      </c>
      <c r="C192" t="s">
        <v>24</v>
      </c>
      <c r="D192" t="s">
        <v>520</v>
      </c>
      <c r="E192" t="s">
        <v>521</v>
      </c>
      <c r="F192" t="s">
        <v>522</v>
      </c>
      <c r="G192" t="s">
        <v>523</v>
      </c>
      <c r="H192" s="3">
        <v>39819.71875</v>
      </c>
      <c r="I192" t="str">
        <f ca="1">TEXT(TRUNC(46.985), "0" &amp; CHAR(176) &amp; " ") &amp; TEXT(INT((ABS(46.985)- INT(ABS(46.985)))*60), "0' ") &amp; TEXT(((((ABS(46.985)-INT(ABS(46.985)))*60)- INT((ABS(46.985) - INT(ABS(46.985)))*60))*60), " 0''")</f>
        <v>46°c c59  6</v>
      </c>
      <c r="J192" t="str">
        <f ca="1">TEXT(TRUNC(28.9425), "0" &amp; CHAR(176) &amp; " ") &amp; TEXT(INT((ABS(28.9425)- INT(ABS(28.9425)))*60), "0' ") &amp; TEXT(((((ABS(28.9425)-INT(ABS(28.9425)))*60)- INT((ABS(28.9425) - INT(ABS(28.9425)))*60))*60), " 0''")</f>
        <v>28°c c56  33</v>
      </c>
    </row>
    <row r="193" spans="1:10">
      <c r="A193" t="s">
        <v>10</v>
      </c>
      <c r="B193" s="2">
        <v>1200</v>
      </c>
      <c r="C193" t="s">
        <v>24</v>
      </c>
      <c r="D193" t="s">
        <v>524</v>
      </c>
      <c r="E193" t="s">
        <v>525</v>
      </c>
      <c r="F193" t="s">
        <v>343</v>
      </c>
      <c r="G193" t="s">
        <v>15</v>
      </c>
      <c r="H193" s="3">
        <v>39819.756944444445</v>
      </c>
      <c r="I193" t="str">
        <f ca="1">TEXT(TRUNC(39.96111), "0" &amp; CHAR(176) &amp; " ") &amp; TEXT(INT((ABS(39.96111)- INT(ABS(39.96111)))*60), "0' ") &amp; TEXT(((((ABS(39.96111)-INT(ABS(39.96111)))*60)- INT((ABS(39.96111) - INT(ABS(39.96111)))*60))*60), " 0''")</f>
        <v>39°c c57  40</v>
      </c>
      <c r="J193" t="str">
        <f ca="1">TEXT(TRUNC(-82.99889), "0" &amp; CHAR(176) &amp; " ") &amp; TEXT(INT((ABS(-82.99889)- INT(ABS(-82.99889)))*60), "0' ") &amp; TEXT(((((ABS(-82.99889)-INT(ABS(-82.99889)))*60)- INT((ABS(-82.99889) - INT(ABS(-82.99889)))*60))*60), " 0''")</f>
        <v>-82°c c59  56</v>
      </c>
    </row>
    <row r="194" spans="1:10">
      <c r="A194" t="s">
        <v>10</v>
      </c>
      <c r="B194" s="2">
        <v>1200</v>
      </c>
      <c r="C194" t="s">
        <v>24</v>
      </c>
      <c r="D194" t="s">
        <v>528</v>
      </c>
      <c r="E194" t="s">
        <v>529</v>
      </c>
      <c r="F194" t="s">
        <v>57</v>
      </c>
      <c r="G194" t="s">
        <v>15</v>
      </c>
      <c r="H194" s="3">
        <v>39819.786805555559</v>
      </c>
      <c r="I194" t="str">
        <f ca="1">TEXT(TRUNC(33.2), "0" &amp; CHAR(176) &amp; " ") &amp; TEXT(INT((ABS(33.2)- INT(ABS(33.2)))*60), "0' ") &amp; TEXT(((((ABS(33.2)-INT(ABS(33.2)))*60)- INT((ABS(33.2) - INT(ABS(33.2)))*60))*60), " 0''")</f>
        <v>33°c c12  0</v>
      </c>
      <c r="J194" t="str">
        <f ca="1">TEXT(TRUNC(-117.24167), "0" &amp; CHAR(176) &amp; " ") &amp; TEXT(INT((ABS(-117.24167)- INT(ABS(-117.24167)))*60), "0' ") &amp; TEXT(((((ABS(-117.24167)-INT(ABS(-117.24167)))*60)- INT((ABS(-117.24167) - INT(ABS(-117.24167)))*60))*60), " 0''")</f>
        <v>-117°c c14  30</v>
      </c>
    </row>
    <row r="195" spans="1:10">
      <c r="A195" t="s">
        <v>10</v>
      </c>
      <c r="B195" s="2">
        <v>1200</v>
      </c>
      <c r="C195" t="s">
        <v>24</v>
      </c>
      <c r="D195" t="s">
        <v>532</v>
      </c>
      <c r="E195" t="s">
        <v>251</v>
      </c>
      <c r="F195" t="s">
        <v>252</v>
      </c>
      <c r="G195" t="s">
        <v>81</v>
      </c>
      <c r="H195" s="3">
        <v>39819.884027777778</v>
      </c>
      <c r="I19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19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196" spans="1:10">
      <c r="A196" t="s">
        <v>10</v>
      </c>
      <c r="B196" s="2">
        <v>1200</v>
      </c>
      <c r="C196" t="s">
        <v>11</v>
      </c>
      <c r="D196" t="s">
        <v>538</v>
      </c>
      <c r="E196" t="s">
        <v>539</v>
      </c>
      <c r="F196" t="s">
        <v>540</v>
      </c>
      <c r="G196" t="s">
        <v>541</v>
      </c>
      <c r="H196" s="3">
        <v>39820.070833333331</v>
      </c>
      <c r="I196" t="str">
        <f ca="1">TEXT(TRUNC(57.0333333), "0" &amp; CHAR(176) &amp; " ") &amp; TEXT(INT((ABS(57.0333333)- INT(ABS(57.0333333)))*60), "0' ") &amp; TEXT(((((ABS(57.0333333)-INT(ABS(57.0333333)))*60)- INT((ABS(57.0333333) - INT(ABS(57.0333333)))*60))*60), " 0''")</f>
        <v>57°c c1  60</v>
      </c>
      <c r="J196" t="str">
        <f ca="1">TEXT(TRUNC(24.1), "0" &amp; CHAR(176) &amp; " ") &amp; TEXT(INT((ABS(24.1)- INT(ABS(24.1)))*60), "0' ") &amp; TEXT(((((ABS(24.1)-INT(ABS(24.1)))*60)- INT((ABS(24.1) - INT(ABS(24.1)))*60))*60), " 0''")</f>
        <v>24°c c6  0</v>
      </c>
    </row>
    <row r="197" spans="1:10">
      <c r="A197" t="s">
        <v>10</v>
      </c>
      <c r="B197" s="2">
        <v>1200</v>
      </c>
      <c r="C197" t="s">
        <v>33</v>
      </c>
      <c r="D197" t="s">
        <v>503</v>
      </c>
      <c r="E197" t="s">
        <v>118</v>
      </c>
      <c r="F197" t="s">
        <v>53</v>
      </c>
      <c r="G197" t="s">
        <v>54</v>
      </c>
      <c r="H197" s="3">
        <v>39820.197916666664</v>
      </c>
      <c r="I19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19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198" spans="1:10">
      <c r="A198" t="s">
        <v>10</v>
      </c>
      <c r="B198" s="2">
        <v>1200</v>
      </c>
      <c r="C198" t="s">
        <v>24</v>
      </c>
      <c r="D198" t="s">
        <v>277</v>
      </c>
      <c r="E198" t="s">
        <v>542</v>
      </c>
      <c r="F198" t="s">
        <v>543</v>
      </c>
      <c r="G198" t="s">
        <v>23</v>
      </c>
      <c r="H198" s="3">
        <v>39820.245138888888</v>
      </c>
      <c r="I198" t="str">
        <f ca="1">TEXT(TRUNC(49.4166667), "0" &amp; CHAR(176) &amp; " ") &amp; TEXT(INT((ABS(49.4166667)- INT(ABS(49.4166667)))*60), "0' ") &amp; TEXT(((((ABS(49.4166667)-INT(ABS(49.4166667)))*60)- INT((ABS(49.4166667) - INT(ABS(49.4166667)))*60))*60), " 0''")</f>
        <v>49°c c25  0</v>
      </c>
      <c r="J198" t="str">
        <f ca="1">TEXT(TRUNC(7.4), "0" &amp; CHAR(176) &amp; " ") &amp; TEXT(INT((ABS(7.4)- INT(ABS(7.4)))*60), "0' ") &amp; TEXT(((((ABS(7.4)-INT(ABS(7.4)))*60)- INT((ABS(7.4) - INT(ABS(7.4)))*60))*60), " 0''")</f>
        <v>7°c c24  0</v>
      </c>
    </row>
    <row r="199" spans="1:10">
      <c r="A199" t="s">
        <v>10</v>
      </c>
      <c r="B199" s="2">
        <v>1200</v>
      </c>
      <c r="C199" t="s">
        <v>11</v>
      </c>
      <c r="D199" t="s">
        <v>545</v>
      </c>
      <c r="E199" t="s">
        <v>546</v>
      </c>
      <c r="F199" t="s">
        <v>343</v>
      </c>
      <c r="G199" t="s">
        <v>15</v>
      </c>
      <c r="H199" s="3">
        <v>39820.2625</v>
      </c>
      <c r="I199" t="str">
        <f ca="1">TEXT(TRUNC(41.46444), "0" &amp; CHAR(176) &amp; " ") &amp; TEXT(INT((ABS(41.46444)- INT(ABS(41.46444)))*60), "0' ") &amp; TEXT(((((ABS(41.46444)-INT(ABS(41.46444)))*60)- INT((ABS(41.46444) - INT(ABS(41.46444)))*60))*60), " 0''")</f>
        <v>41°c c27  52</v>
      </c>
      <c r="J199" t="str">
        <f ca="1">TEXT(TRUNC(-81.50889), "0" &amp; CHAR(176) &amp; " ") &amp; TEXT(INT((ABS(-81.50889)- INT(ABS(-81.50889)))*60), "0' ") &amp; TEXT(((((ABS(-81.50889)-INT(ABS(-81.50889)))*60)- INT((ABS(-81.50889) - INT(ABS(-81.50889)))*60))*60), " 0''")</f>
        <v>-81°c c30  32</v>
      </c>
    </row>
    <row r="200" spans="1:10">
      <c r="A200" t="s">
        <v>10</v>
      </c>
      <c r="B200" s="2">
        <v>1200</v>
      </c>
      <c r="C200" t="s">
        <v>50</v>
      </c>
      <c r="D200" t="s">
        <v>547</v>
      </c>
      <c r="E200" t="s">
        <v>548</v>
      </c>
      <c r="F200" t="s">
        <v>513</v>
      </c>
      <c r="G200" t="s">
        <v>65</v>
      </c>
      <c r="H200" s="3">
        <v>39820.272916666669</v>
      </c>
      <c r="I200" t="str">
        <f ca="1">TEXT(TRUNC(53.3591667), "0" &amp; CHAR(176) &amp; " ") &amp; TEXT(INT((ABS(53.3591667)- INT(ABS(53.3591667)))*60), "0' ") &amp; TEXT(((((ABS(53.3591667)-INT(ABS(53.3591667)))*60)- INT((ABS(53.3591667) - INT(ABS(53.3591667)))*60))*60), " 0''")</f>
        <v>53°c c21  33</v>
      </c>
      <c r="J200" t="str">
        <f ca="1">TEXT(TRUNC(-6.2161111), "0" &amp; CHAR(176) &amp; " ") &amp; TEXT(INT((ABS(-6.2161111)- INT(ABS(-6.2161111)))*60), "0' ") &amp; TEXT(((((ABS(-6.2161111)-INT(ABS(-6.2161111)))*60)- INT((ABS(-6.2161111) - INT(ABS(-6.2161111)))*60))*60), " 0''")</f>
        <v>-6°c c12  58</v>
      </c>
    </row>
    <row r="201" spans="1:10">
      <c r="A201" t="s">
        <v>10</v>
      </c>
      <c r="B201" s="2">
        <v>1200</v>
      </c>
      <c r="C201" t="s">
        <v>33</v>
      </c>
      <c r="D201" t="s">
        <v>549</v>
      </c>
      <c r="E201" t="s">
        <v>550</v>
      </c>
      <c r="F201" t="s">
        <v>507</v>
      </c>
      <c r="G201" t="s">
        <v>480</v>
      </c>
      <c r="H201" s="3">
        <v>39820.304861111108</v>
      </c>
      <c r="I201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201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202" spans="1:10">
      <c r="A202" t="s">
        <v>10</v>
      </c>
      <c r="B202" s="2">
        <v>1200</v>
      </c>
      <c r="C202" t="s">
        <v>33</v>
      </c>
      <c r="D202" t="s">
        <v>551</v>
      </c>
      <c r="E202" t="s">
        <v>552</v>
      </c>
      <c r="F202" t="s">
        <v>553</v>
      </c>
      <c r="G202" t="s">
        <v>15</v>
      </c>
      <c r="H202" s="3">
        <v>39820.311111111114</v>
      </c>
      <c r="I202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202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203" spans="1:10">
      <c r="A203" t="s">
        <v>10</v>
      </c>
      <c r="B203" s="2">
        <v>1200</v>
      </c>
      <c r="C203" t="s">
        <v>11</v>
      </c>
      <c r="D203" t="s">
        <v>554</v>
      </c>
      <c r="E203" t="s">
        <v>555</v>
      </c>
      <c r="F203" t="s">
        <v>476</v>
      </c>
      <c r="G203" t="s">
        <v>15</v>
      </c>
      <c r="H203" s="3">
        <v>39820.322222222225</v>
      </c>
      <c r="I203" t="str">
        <f ca="1">TEXT(TRUNC(34.33806), "0" &amp; CHAR(176) &amp; " ") &amp; TEXT(INT((ABS(34.33806)- INT(ABS(34.33806)))*60), "0' ") &amp; TEXT(((((ABS(34.33806)-INT(ABS(34.33806)))*60)- INT((ABS(34.33806) - INT(ABS(34.33806)))*60))*60), " 0''")</f>
        <v>34°c c20  17</v>
      </c>
      <c r="J203" t="str">
        <f ca="1">TEXT(TRUNC(-84.37667), "0" &amp; CHAR(176) &amp; " ") &amp; TEXT(INT((ABS(-84.37667)- INT(ABS(-84.37667)))*60), "0' ") &amp; TEXT(((((ABS(-84.37667)-INT(ABS(-84.37667)))*60)- INT((ABS(-84.37667) - INT(ABS(-84.37667)))*60))*60), " 0''")</f>
        <v>-84°c c22  36</v>
      </c>
    </row>
    <row r="204" spans="1:10">
      <c r="A204" t="s">
        <v>10</v>
      </c>
      <c r="B204" s="2">
        <v>1200</v>
      </c>
      <c r="C204" t="s">
        <v>11</v>
      </c>
      <c r="D204" t="s">
        <v>556</v>
      </c>
      <c r="E204" t="s">
        <v>557</v>
      </c>
      <c r="F204" t="s">
        <v>543</v>
      </c>
      <c r="G204" t="s">
        <v>23</v>
      </c>
      <c r="H204" s="3">
        <v>39820.333333333336</v>
      </c>
      <c r="I204" t="str">
        <f ca="1">TEXT(TRUNC(49.4666667), "0" &amp; CHAR(176) &amp; " ") &amp; TEXT(INT((ABS(49.4666667)- INT(ABS(49.4666667)))*60), "0' ") &amp; TEXT(((((ABS(49.4666667)-INT(ABS(49.4666667)))*60)- INT((ABS(49.4666667) - INT(ABS(49.4666667)))*60))*60), " 0''")</f>
        <v>49°c c28  0</v>
      </c>
      <c r="J204" t="str">
        <f ca="1">TEXT(TRUNC(7.4333333), "0" &amp; CHAR(176) &amp; " ") &amp; TEXT(INT((ABS(7.4333333)- INT(ABS(7.4333333)))*60), "0' ") &amp; TEXT(((((ABS(7.4333333)-INT(ABS(7.4333333)))*60)- INT((ABS(7.4333333) - INT(ABS(7.4333333)))*60))*60), " 0''")</f>
        <v>7°c c25  60</v>
      </c>
    </row>
    <row r="205" spans="1:10">
      <c r="A205" t="s">
        <v>10</v>
      </c>
      <c r="B205" s="2">
        <v>1200</v>
      </c>
      <c r="C205" t="s">
        <v>33</v>
      </c>
      <c r="D205" t="s">
        <v>558</v>
      </c>
      <c r="E205" t="s">
        <v>421</v>
      </c>
      <c r="F205" t="s">
        <v>95</v>
      </c>
      <c r="G205" t="s">
        <v>81</v>
      </c>
      <c r="H205" s="3">
        <v>39820.335416666669</v>
      </c>
      <c r="I205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205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206" spans="1:10">
      <c r="A206" t="s">
        <v>10</v>
      </c>
      <c r="B206" s="2">
        <v>1200</v>
      </c>
      <c r="C206" t="s">
        <v>50</v>
      </c>
      <c r="D206" t="s">
        <v>559</v>
      </c>
      <c r="E206" t="s">
        <v>362</v>
      </c>
      <c r="F206" t="s">
        <v>14</v>
      </c>
      <c r="G206" t="s">
        <v>15</v>
      </c>
      <c r="H206" s="3">
        <v>39820.338888888888</v>
      </c>
      <c r="I206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206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207" spans="1:10">
      <c r="A207" t="s">
        <v>10</v>
      </c>
      <c r="B207" s="2">
        <v>1200</v>
      </c>
      <c r="C207" t="s">
        <v>24</v>
      </c>
      <c r="D207" t="s">
        <v>560</v>
      </c>
      <c r="E207" t="s">
        <v>561</v>
      </c>
      <c r="F207" t="s">
        <v>562</v>
      </c>
      <c r="G207" t="s">
        <v>85</v>
      </c>
      <c r="H207" s="3">
        <v>39820.347916666666</v>
      </c>
      <c r="I207" t="str">
        <f ca="1">TEXT(TRUNC(59.9666667), "0" &amp; CHAR(176) &amp; " ") &amp; TEXT(INT((ABS(59.9666667)- INT(ABS(59.9666667)))*60), "0' ") &amp; TEXT(((((ABS(59.9666667)-INT(ABS(59.9666667)))*60)- INT((ABS(59.9666667) - INT(ABS(59.9666667)))*60))*60), " 0''")</f>
        <v>59°c c58  0</v>
      </c>
      <c r="J207" t="str">
        <f ca="1">TEXT(TRUNC(10.6666667), "0" &amp; CHAR(176) &amp; " ") &amp; TEXT(INT((ABS(10.6666667)- INT(ABS(10.6666667)))*60), "0' ") &amp; TEXT(((((ABS(10.6666667)-INT(ABS(10.6666667)))*60)- INT((ABS(10.6666667) - INT(ABS(10.6666667)))*60))*60), " 0''")</f>
        <v>10°c c40  0</v>
      </c>
    </row>
    <row r="208" spans="1:10">
      <c r="A208" t="s">
        <v>10</v>
      </c>
      <c r="B208" s="2">
        <v>1200</v>
      </c>
      <c r="C208" t="s">
        <v>50</v>
      </c>
      <c r="D208" t="s">
        <v>563</v>
      </c>
      <c r="E208" t="s">
        <v>564</v>
      </c>
      <c r="F208" t="s">
        <v>228</v>
      </c>
      <c r="G208" t="s">
        <v>15</v>
      </c>
      <c r="H208" s="3">
        <v>39820.351388888892</v>
      </c>
      <c r="I208" t="str">
        <f ca="1">TEXT(TRUNC(33.30611), "0" &amp; CHAR(176) &amp; " ") &amp; TEXT(INT((ABS(33.30611)- INT(ABS(33.30611)))*60), "0' ") &amp; TEXT(((((ABS(33.30611)-INT(ABS(33.30611)))*60)- INT((ABS(33.30611) - INT(ABS(33.30611)))*60))*60), " 0''")</f>
        <v>33°c c18  22</v>
      </c>
      <c r="J208" t="str">
        <f ca="1">TEXT(TRUNC(-111.84056), "0" &amp; CHAR(176) &amp; " ") &amp; TEXT(INT((ABS(-111.84056)- INT(ABS(-111.84056)))*60), "0' ") &amp; TEXT(((((ABS(-111.84056)-INT(ABS(-111.84056)))*60)- INT((ABS(-111.84056) - INT(ABS(-111.84056)))*60))*60), " 0''")</f>
        <v>-111°c c50  26</v>
      </c>
    </row>
    <row r="209" spans="1:10">
      <c r="A209" t="s">
        <v>10</v>
      </c>
      <c r="B209" s="2">
        <v>1200</v>
      </c>
      <c r="C209" t="s">
        <v>24</v>
      </c>
      <c r="D209" t="s">
        <v>88</v>
      </c>
      <c r="E209" t="s">
        <v>442</v>
      </c>
      <c r="F209" t="s">
        <v>53</v>
      </c>
      <c r="G209" t="s">
        <v>54</v>
      </c>
      <c r="H209" s="3">
        <v>39820.4125</v>
      </c>
      <c r="I209" t="str">
        <f ca="1">TEXT(TRUNC(51.1), "0" &amp; CHAR(176) &amp; " ") &amp; TEXT(INT((ABS(51.1)- INT(ABS(51.1)))*60), "0' ") &amp; TEXT(((((ABS(51.1)-INT(ABS(51.1)))*60)- INT((ABS(51.1) - INT(ABS(51.1)))*60))*60), " 0''")</f>
        <v>51°c c6  0</v>
      </c>
      <c r="J209" t="str">
        <f ca="1">TEXT(TRUNC(-4.1), "0" &amp; CHAR(176) &amp; " ") &amp; TEXT(INT((ABS(-4.1)- INT(ABS(-4.1)))*60), "0' ") &amp; TEXT(((((ABS(-4.1)-INT(ABS(-4.1)))*60)- INT((ABS(-4.1) - INT(ABS(-4.1)))*60))*60), " 0''")</f>
        <v>-4°c c5  60</v>
      </c>
    </row>
    <row r="210" spans="1:10">
      <c r="A210" t="s">
        <v>10</v>
      </c>
      <c r="B210" s="2">
        <v>1200</v>
      </c>
      <c r="C210" t="s">
        <v>24</v>
      </c>
      <c r="D210" t="s">
        <v>565</v>
      </c>
      <c r="E210" t="s">
        <v>566</v>
      </c>
      <c r="F210" t="s">
        <v>567</v>
      </c>
      <c r="G210" t="s">
        <v>15</v>
      </c>
      <c r="H210" s="3">
        <v>39820.417361111111</v>
      </c>
      <c r="I210" t="str">
        <f ca="1">TEXT(TRUNC(35.72), "0" &amp; CHAR(176) &amp; " ") &amp; TEXT(INT((ABS(35.72)- INT(ABS(35.72)))*60), "0' ") &amp; TEXT(((((ABS(35.72)-INT(ABS(35.72)))*60)- INT((ABS(35.72) - INT(ABS(35.72)))*60))*60), " 0''")</f>
        <v>35°c c43  12</v>
      </c>
      <c r="J210" t="str">
        <f ca="1">TEXT(TRUNC(-79.1775), "0" &amp; CHAR(176) &amp; " ") &amp; TEXT(INT((ABS(-79.1775)- INT(ABS(-79.1775)))*60), "0' ") &amp; TEXT(((((ABS(-79.1775)-INT(ABS(-79.1775)))*60)- INT((ABS(-79.1775) - INT(ABS(-79.1775)))*60))*60), " 0''")</f>
        <v>-79°c c10  39</v>
      </c>
    </row>
    <row r="211" spans="1:10">
      <c r="A211" t="s">
        <v>10</v>
      </c>
      <c r="B211" s="2">
        <v>1200</v>
      </c>
      <c r="C211" t="s">
        <v>11</v>
      </c>
      <c r="D211" t="s">
        <v>568</v>
      </c>
      <c r="E211" t="s">
        <v>569</v>
      </c>
      <c r="F211" t="s">
        <v>267</v>
      </c>
      <c r="G211" t="s">
        <v>49</v>
      </c>
      <c r="H211" s="3">
        <v>39820.41875</v>
      </c>
      <c r="I211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211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212" spans="1:10">
      <c r="A212" t="s">
        <v>10</v>
      </c>
      <c r="B212" s="2">
        <v>1200</v>
      </c>
      <c r="C212" t="s">
        <v>24</v>
      </c>
      <c r="D212" t="s">
        <v>572</v>
      </c>
      <c r="E212" t="s">
        <v>573</v>
      </c>
      <c r="F212" t="s">
        <v>574</v>
      </c>
      <c r="G212" t="s">
        <v>65</v>
      </c>
      <c r="H212" s="3">
        <v>39820.452777777777</v>
      </c>
      <c r="I212" t="str">
        <f ca="1">TEXT(TRUNC(52.5961111), "0" &amp; CHAR(176) &amp; " ") &amp; TEXT(INT((ABS(52.5961111)- INT(ABS(52.5961111)))*60), "0' ") &amp; TEXT(((((ABS(52.5961111)-INT(ABS(52.5961111)))*60)- INT((ABS(52.5961111) - INT(ABS(52.5961111)))*60))*60), " 0''")</f>
        <v>52°c c35  46</v>
      </c>
      <c r="J212" t="str">
        <f ca="1">TEXT(TRUNC(-8.5469444), "0" &amp; CHAR(176) &amp; " ") &amp; TEXT(INT((ABS(-8.5469444)- INT(ABS(-8.5469444)))*60), "0' ") &amp; TEXT(((((ABS(-8.5469444)-INT(ABS(-8.5469444)))*60)- INT((ABS(-8.5469444) - INT(ABS(-8.5469444)))*60))*60), " 0''")</f>
        <v>-8°c c32  49</v>
      </c>
    </row>
    <row r="213" spans="1:10">
      <c r="A213" t="s">
        <v>10</v>
      </c>
      <c r="B213" s="2">
        <v>1200</v>
      </c>
      <c r="C213" t="s">
        <v>24</v>
      </c>
      <c r="D213" t="s">
        <v>337</v>
      </c>
      <c r="E213" t="s">
        <v>575</v>
      </c>
      <c r="F213" t="s">
        <v>71</v>
      </c>
      <c r="G213" t="s">
        <v>72</v>
      </c>
      <c r="H213" s="3">
        <v>39820.504166666666</v>
      </c>
      <c r="I213" t="str">
        <f ca="1">TEXT(TRUNC(36.0377778), "0" &amp; CHAR(176) &amp; " ") &amp; TEXT(INT((ABS(36.0377778)- INT(ABS(36.0377778)))*60), "0' ") &amp; TEXT(((((ABS(36.0377778)-INT(ABS(36.0377778)))*60)- INT((ABS(36.0377778) - INT(ABS(36.0377778)))*60))*60), " 0''")</f>
        <v>36°c c2  16</v>
      </c>
      <c r="J213" t="str">
        <f ca="1">TEXT(TRUNC(14.2941667), "0" &amp; CHAR(176) &amp; " ") &amp; TEXT(INT((ABS(14.2941667)- INT(ABS(14.2941667)))*60), "0' ") &amp; TEXT(((((ABS(14.2941667)-INT(ABS(14.2941667)))*60)- INT((ABS(14.2941667) - INT(ABS(14.2941667)))*60))*60), " 0''")</f>
        <v>14°c c17  39</v>
      </c>
    </row>
    <row r="214" spans="1:10">
      <c r="A214" t="s">
        <v>10</v>
      </c>
      <c r="B214" s="2">
        <v>1200</v>
      </c>
      <c r="C214" t="s">
        <v>33</v>
      </c>
      <c r="D214" t="s">
        <v>136</v>
      </c>
      <c r="E214" t="s">
        <v>579</v>
      </c>
      <c r="F214" t="s">
        <v>580</v>
      </c>
      <c r="G214" t="s">
        <v>15</v>
      </c>
      <c r="H214" s="3">
        <v>39820.538194444445</v>
      </c>
      <c r="I214" t="str">
        <f ca="1">TEXT(TRUNC(41.05333), "0" &amp; CHAR(176) &amp; " ") &amp; TEXT(INT((ABS(41.05333)- INT(ABS(41.05333)))*60), "0' ") &amp; TEXT(((((ABS(41.05333)-INT(ABS(41.05333)))*60)- INT((ABS(41.05333) - INT(ABS(41.05333)))*60))*60), " 0''")</f>
        <v>41°c c3  12</v>
      </c>
      <c r="J214" t="str">
        <f ca="1">TEXT(TRUNC(-73.53917), "0" &amp; CHAR(176) &amp; " ") &amp; TEXT(INT((ABS(-73.53917)- INT(ABS(-73.53917)))*60), "0' ") &amp; TEXT(((((ABS(-73.53917)-INT(ABS(-73.53917)))*60)- INT((ABS(-73.53917) - INT(ABS(-73.53917)))*60))*60), " 0''")</f>
        <v>-73°c c32  21</v>
      </c>
    </row>
    <row r="215" spans="1:10">
      <c r="A215" t="s">
        <v>10</v>
      </c>
      <c r="B215" s="2">
        <v>1200</v>
      </c>
      <c r="C215" t="s">
        <v>24</v>
      </c>
      <c r="D215" t="s">
        <v>583</v>
      </c>
      <c r="E215" t="s">
        <v>584</v>
      </c>
      <c r="F215" t="s">
        <v>584</v>
      </c>
      <c r="G215" t="s">
        <v>106</v>
      </c>
      <c r="H215" s="3">
        <v>39820.554861111108</v>
      </c>
      <c r="I215" t="str">
        <f ca="1">TEXT(TRUNC(38.4072222), "0" &amp; CHAR(176) &amp; " ") &amp; TEXT(INT((ABS(38.4072222)- INT(ABS(38.4072222)))*60), "0' ") &amp; TEXT(((((ABS(38.4072222)-INT(ABS(38.4072222)))*60)- INT((ABS(38.4072222) - INT(ABS(38.4072222)))*60))*60), " 0''")</f>
        <v>38°c c24  26</v>
      </c>
      <c r="J215" t="str">
        <f ca="1">TEXT(TRUNC(27.1502778), "0" &amp; CHAR(176) &amp; " ") &amp; TEXT(INT((ABS(27.1502778)- INT(ABS(27.1502778)))*60), "0' ") &amp; TEXT(((((ABS(27.1502778)-INT(ABS(27.1502778)))*60)- INT((ABS(27.1502778) - INT(ABS(27.1502778)))*60))*60), " 0''")</f>
        <v>27°c c9  1</v>
      </c>
    </row>
    <row r="216" spans="1:10">
      <c r="A216" t="s">
        <v>10</v>
      </c>
      <c r="B216" s="2">
        <v>1200</v>
      </c>
      <c r="C216" t="s">
        <v>24</v>
      </c>
      <c r="D216" t="s">
        <v>585</v>
      </c>
      <c r="E216" t="s">
        <v>586</v>
      </c>
      <c r="F216" t="s">
        <v>304</v>
      </c>
      <c r="G216" t="s">
        <v>81</v>
      </c>
      <c r="H216" s="3">
        <v>39820.55972222222</v>
      </c>
      <c r="I216" t="str">
        <f ca="1">TEXT(TRUNC(45.95), "0" &amp; CHAR(176) &amp; " ") &amp; TEXT(INT((ABS(45.95)- INT(ABS(45.95)))*60), "0' ") &amp; TEXT(((((ABS(45.95)-INT(ABS(45.95)))*60)- INT((ABS(45.95) - INT(ABS(45.95)))*60))*60), " 0''")</f>
        <v>45°c c57  0</v>
      </c>
      <c r="J216" t="str">
        <f ca="1">TEXT(TRUNC(-71.9833333), "0" &amp; CHAR(176) &amp; " ") &amp; TEXT(INT((ABS(-71.9833333)- INT(ABS(-71.9833333)))*60), "0' ") &amp; TEXT(((((ABS(-71.9833333)-INT(ABS(-71.9833333)))*60)- INT((ABS(-71.9833333) - INT(ABS(-71.9833333)))*60))*60), " 0''")</f>
        <v>-71°c c58  60</v>
      </c>
    </row>
    <row r="217" spans="1:10">
      <c r="A217" t="s">
        <v>10</v>
      </c>
      <c r="B217" s="2">
        <v>1200</v>
      </c>
      <c r="C217" t="s">
        <v>24</v>
      </c>
      <c r="D217" t="s">
        <v>366</v>
      </c>
      <c r="E217" t="s">
        <v>587</v>
      </c>
      <c r="F217" t="s">
        <v>53</v>
      </c>
      <c r="G217" t="s">
        <v>54</v>
      </c>
      <c r="H217" s="3">
        <v>39820.561111111114</v>
      </c>
      <c r="I217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217" t="str">
        <f ca="1">TEXT(TRUNC(-2), "0" &amp; CHAR(176) &amp; " ") &amp; TEXT(INT((ABS(-2)- INT(ABS(-2)))*60), "0' ") &amp; TEXT(((((ABS(-2)-INT(ABS(-2)))*60)- INT((ABS(-2) - INT(ABS(-2)))*60))*60), " 0''")</f>
        <v>-2°c c0  0</v>
      </c>
    </row>
    <row r="218" spans="1:10">
      <c r="A218" t="s">
        <v>10</v>
      </c>
      <c r="B218" s="2">
        <v>1200</v>
      </c>
      <c r="C218" t="s">
        <v>11</v>
      </c>
      <c r="D218" t="s">
        <v>588</v>
      </c>
      <c r="E218" t="s">
        <v>589</v>
      </c>
      <c r="F218" t="s">
        <v>264</v>
      </c>
      <c r="G218" t="s">
        <v>65</v>
      </c>
      <c r="H218" s="3">
        <v>39820.561111111114</v>
      </c>
      <c r="I218" t="str">
        <f ca="1">TEXT(TRUNC(53.6186111), "0" &amp; CHAR(176) &amp; " ") &amp; TEXT(INT((ABS(53.6186111)- INT(ABS(53.6186111)))*60), "0' ") &amp; TEXT(((((ABS(53.6186111)-INT(ABS(53.6186111)))*60)- INT((ABS(53.6186111) - INT(ABS(53.6186111)))*60))*60), " 0''")</f>
        <v>53°c c37  7</v>
      </c>
      <c r="J218" t="str">
        <f ca="1">TEXT(TRUNC(-6.9205556), "0" &amp; CHAR(176) &amp; " ") &amp; TEXT(INT((ABS(-6.9205556)- INT(ABS(-6.9205556)))*60), "0' ") &amp; TEXT(((((ABS(-6.9205556)-INT(ABS(-6.9205556)))*60)- INT((ABS(-6.9205556) - INT(ABS(-6.9205556)))*60))*60), " 0''")</f>
        <v>-6°c c55  14</v>
      </c>
    </row>
    <row r="219" spans="1:10">
      <c r="A219" t="s">
        <v>10</v>
      </c>
      <c r="B219" s="2">
        <v>1200</v>
      </c>
      <c r="C219" t="s">
        <v>11</v>
      </c>
      <c r="D219" t="s">
        <v>588</v>
      </c>
      <c r="E219" t="s">
        <v>590</v>
      </c>
      <c r="F219" t="s">
        <v>591</v>
      </c>
      <c r="G219" t="s">
        <v>23</v>
      </c>
      <c r="H219" s="3">
        <v>39820.568055555559</v>
      </c>
      <c r="I219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219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220" spans="1:10">
      <c r="A220" t="s">
        <v>10</v>
      </c>
      <c r="B220" s="2">
        <v>1200</v>
      </c>
      <c r="C220" t="s">
        <v>50</v>
      </c>
      <c r="D220" t="s">
        <v>592</v>
      </c>
      <c r="E220" t="s">
        <v>593</v>
      </c>
      <c r="F220" t="s">
        <v>57</v>
      </c>
      <c r="G220" t="s">
        <v>15</v>
      </c>
      <c r="H220" s="3">
        <v>39820.575694444444</v>
      </c>
      <c r="I220" t="str">
        <f ca="1">TEXT(TRUNC(34.20111), "0" &amp; CHAR(176) &amp; " ") &amp; TEXT(INT((ABS(34.20111)- INT(ABS(34.20111)))*60), "0' ") &amp; TEXT(((((ABS(34.20111)-INT(ABS(34.20111)))*60)- INT((ABS(34.20111) - INT(ABS(34.20111)))*60))*60), " 0''")</f>
        <v>34°c c12  4</v>
      </c>
      <c r="J220" t="str">
        <f ca="1">TEXT(TRUNC(-118.59722), "0" &amp; CHAR(176) &amp; " ") &amp; TEXT(INT((ABS(-118.59722)- INT(ABS(-118.59722)))*60), "0' ") &amp; TEXT(((((ABS(-118.59722)-INT(ABS(-118.59722)))*60)- INT((ABS(-118.59722) - INT(ABS(-118.59722)))*60))*60), " 0''")</f>
        <v>-118°c c35  50</v>
      </c>
    </row>
    <row r="221" spans="1:10">
      <c r="A221" t="s">
        <v>10</v>
      </c>
      <c r="B221" s="2">
        <v>1200</v>
      </c>
      <c r="C221" t="s">
        <v>24</v>
      </c>
      <c r="D221" t="s">
        <v>594</v>
      </c>
      <c r="E221" t="s">
        <v>595</v>
      </c>
      <c r="F221" t="s">
        <v>596</v>
      </c>
      <c r="G221" t="s">
        <v>597</v>
      </c>
      <c r="H221" s="3">
        <v>39820.58125</v>
      </c>
      <c r="I221" t="str">
        <f ca="1">TEXT(TRUNC(-36.55), "0" &amp; CHAR(176) &amp; " ") &amp; TEXT(INT((ABS(-36.55)- INT(ABS(-36.55)))*60), "0' ") &amp; TEXT(((((ABS(-36.55)-INT(ABS(-36.55)))*60)- INT((ABS(-36.55) - INT(ABS(-36.55)))*60))*60), " 0''")</f>
        <v>-36°c c32  60</v>
      </c>
      <c r="J221" t="str">
        <f ca="1">TEXT(TRUNC(174.7166667), "0" &amp; CHAR(176) &amp; " ") &amp; TEXT(INT((ABS(174.7166667)- INT(ABS(174.7166667)))*60), "0' ") &amp; TEXT(((((ABS(174.7166667)-INT(ABS(174.7166667)))*60)- INT((ABS(174.7166667) - INT(ABS(174.7166667)))*60))*60), " 0''")</f>
        <v>174°c c43  0</v>
      </c>
    </row>
    <row r="222" spans="1:10">
      <c r="A222" t="s">
        <v>10</v>
      </c>
      <c r="B222" s="2">
        <v>1200</v>
      </c>
      <c r="C222" t="s">
        <v>11</v>
      </c>
      <c r="D222" t="s">
        <v>598</v>
      </c>
      <c r="E222" t="s">
        <v>599</v>
      </c>
      <c r="F222" t="s">
        <v>57</v>
      </c>
      <c r="G222" t="s">
        <v>15</v>
      </c>
      <c r="H222" s="3">
        <v>39820.59375</v>
      </c>
      <c r="I222" t="str">
        <f ca="1">TEXT(TRUNC(37.50722), "0" &amp; CHAR(176) &amp; " ") &amp; TEXT(INT((ABS(37.50722)- INT(ABS(37.50722)))*60), "0' ") &amp; TEXT(((((ABS(37.50722)-INT(ABS(37.50722)))*60)- INT((ABS(37.50722) - INT(ABS(37.50722)))*60))*60), " 0''")</f>
        <v>37°c c30  26</v>
      </c>
      <c r="J222" t="str">
        <f ca="1">TEXT(TRUNC(-122.25944), "0" &amp; CHAR(176) &amp; " ") &amp; TEXT(INT((ABS(-122.25944)- INT(ABS(-122.25944)))*60), "0' ") &amp; TEXT(((((ABS(-122.25944)-INT(ABS(-122.25944)))*60)- INT((ABS(-122.25944) - INT(ABS(-122.25944)))*60))*60), " 0''")</f>
        <v>-122°c c15  34</v>
      </c>
    </row>
    <row r="223" spans="1:10">
      <c r="A223" t="s">
        <v>10</v>
      </c>
      <c r="B223" s="2">
        <v>1200</v>
      </c>
      <c r="C223" t="s">
        <v>24</v>
      </c>
      <c r="D223" t="s">
        <v>600</v>
      </c>
      <c r="E223" t="s">
        <v>601</v>
      </c>
      <c r="F223" t="s">
        <v>602</v>
      </c>
      <c r="G223" t="s">
        <v>65</v>
      </c>
      <c r="H223" s="3">
        <v>39820.621527777781</v>
      </c>
      <c r="I223" t="str">
        <f ca="1">TEXT(TRUNC(53.7188889), "0" &amp; CHAR(176) &amp; " ") &amp; TEXT(INT((ABS(53.7188889)- INT(ABS(53.7188889)))*60), "0' ") &amp; TEXT(((((ABS(53.7188889)-INT(ABS(53.7188889)))*60)- INT((ABS(53.7188889) - INT(ABS(53.7188889)))*60))*60), " 0''")</f>
        <v>53°c c43  8</v>
      </c>
      <c r="J223" t="str">
        <f ca="1">TEXT(TRUNC(-6.3477778), "0" &amp; CHAR(176) &amp; " ") &amp; TEXT(INT((ABS(-6.3477778)- INT(ABS(-6.3477778)))*60), "0' ") &amp; TEXT(((((ABS(-6.3477778)-INT(ABS(-6.3477778)))*60)- INT((ABS(-6.3477778) - INT(ABS(-6.3477778)))*60))*60), " 0''")</f>
        <v>-6°c c20  52</v>
      </c>
    </row>
    <row r="224" spans="1:10">
      <c r="A224" t="s">
        <v>10</v>
      </c>
      <c r="B224" s="2">
        <v>1200</v>
      </c>
      <c r="C224" t="s">
        <v>11</v>
      </c>
      <c r="D224" t="s">
        <v>605</v>
      </c>
      <c r="E224" t="s">
        <v>606</v>
      </c>
      <c r="F224" t="s">
        <v>476</v>
      </c>
      <c r="G224" t="s">
        <v>15</v>
      </c>
      <c r="H224" s="3">
        <v>39820.741666666669</v>
      </c>
      <c r="I224" t="str">
        <f ca="1">TEXT(TRUNC(33.51722), "0" &amp; CHAR(176) &amp; " ") &amp; TEXT(INT((ABS(33.51722)- INT(ABS(33.51722)))*60), "0' ") &amp; TEXT(((((ABS(33.51722)-INT(ABS(33.51722)))*60)- INT((ABS(33.51722) - INT(ABS(33.51722)))*60))*60), " 0''")</f>
        <v>33°c c31  2</v>
      </c>
      <c r="J224" t="str">
        <f ca="1">TEXT(TRUNC(-82.07583), "0" &amp; CHAR(176) &amp; " ") &amp; TEXT(INT((ABS(-82.07583)- INT(ABS(-82.07583)))*60), "0' ") &amp; TEXT(((((ABS(-82.07583)-INT(ABS(-82.07583)))*60)- INT((ABS(-82.07583) - INT(ABS(-82.07583)))*60))*60), " 0''")</f>
        <v>-82°c c4  33</v>
      </c>
    </row>
    <row r="225" spans="1:10">
      <c r="A225" t="s">
        <v>10</v>
      </c>
      <c r="B225" s="2">
        <v>1200</v>
      </c>
      <c r="C225" t="s">
        <v>24</v>
      </c>
      <c r="D225" t="s">
        <v>554</v>
      </c>
      <c r="E225" t="s">
        <v>607</v>
      </c>
      <c r="F225" t="s">
        <v>90</v>
      </c>
      <c r="G225" t="s">
        <v>15</v>
      </c>
      <c r="H225" s="3">
        <v>39820.74375</v>
      </c>
      <c r="I225" t="str">
        <f ca="1">TEXT(TRUNC(39.22), "0" &amp; CHAR(176) &amp; " ") &amp; TEXT(INT((ABS(39.22)- INT(ABS(39.22)))*60), "0' ") &amp; TEXT(((((ABS(39.22)-INT(ABS(39.22)))*60)- INT((ABS(39.22) - INT(ABS(39.22)))*60))*60), " 0''")</f>
        <v>39°c c13  12</v>
      </c>
      <c r="J225" t="str">
        <f ca="1">TEXT(TRUNC(-77.42444), "0" &amp; CHAR(176) &amp; " ") &amp; TEXT(INT((ABS(-77.42444)- INT(ABS(-77.42444)))*60), "0' ") &amp; TEXT(((((ABS(-77.42444)-INT(ABS(-77.42444)))*60)- INT((ABS(-77.42444) - INT(ABS(-77.42444)))*60))*60), " 0''")</f>
        <v>-77°c c25  28</v>
      </c>
    </row>
    <row r="226" spans="1:10">
      <c r="A226" t="s">
        <v>10</v>
      </c>
      <c r="B226" s="2">
        <v>1200</v>
      </c>
      <c r="C226" t="s">
        <v>11</v>
      </c>
      <c r="D226" t="s">
        <v>608</v>
      </c>
      <c r="E226" t="s">
        <v>609</v>
      </c>
      <c r="F226" t="s">
        <v>27</v>
      </c>
      <c r="G226" t="s">
        <v>15</v>
      </c>
      <c r="H226" s="3">
        <v>39820.760416666664</v>
      </c>
      <c r="I226" t="str">
        <f ca="1">TEXT(TRUNC(33.13833), "0" &amp; CHAR(176) &amp; " ") &amp; TEXT(INT((ABS(33.13833)- INT(ABS(33.13833)))*60), "0' ") &amp; TEXT(((((ABS(33.13833)-INT(ABS(33.13833)))*60)- INT((ABS(33.13833) - INT(ABS(33.13833)))*60))*60), " 0''")</f>
        <v>33°c c8  18</v>
      </c>
      <c r="J226" t="str">
        <f ca="1">TEXT(TRUNC(-96.11056), "0" &amp; CHAR(176) &amp; " ") &amp; TEXT(INT((ABS(-96.11056)- INT(ABS(-96.11056)))*60), "0' ") &amp; TEXT(((((ABS(-96.11056)-INT(ABS(-96.11056)))*60)- INT((ABS(-96.11056) - INT(ABS(-96.11056)))*60))*60), " 0''")</f>
        <v>-96°c c6  38</v>
      </c>
    </row>
    <row r="227" spans="1:10">
      <c r="A227" t="s">
        <v>10</v>
      </c>
      <c r="B227" s="2">
        <v>1200</v>
      </c>
      <c r="C227" t="s">
        <v>24</v>
      </c>
      <c r="D227" t="s">
        <v>610</v>
      </c>
      <c r="E227" t="s">
        <v>611</v>
      </c>
      <c r="F227" t="s">
        <v>567</v>
      </c>
      <c r="G227" t="s">
        <v>15</v>
      </c>
      <c r="H227" s="3">
        <v>39820.786805555559</v>
      </c>
      <c r="I227" t="str">
        <f ca="1">TEXT(TRUNC(35.99389), "0" &amp; CHAR(176) &amp; " ") &amp; TEXT(INT((ABS(35.99389)- INT(ABS(35.99389)))*60), "0' ") &amp; TEXT(((((ABS(35.99389)-INT(ABS(35.99389)))*60)- INT((ABS(35.99389) - INT(ABS(35.99389)))*60))*60), " 0''")</f>
        <v>35°c c59  38</v>
      </c>
      <c r="J227" t="str">
        <f ca="1">TEXT(TRUNC(-78.89889), "0" &amp; CHAR(176) &amp; " ") &amp; TEXT(INT((ABS(-78.89889)- INT(ABS(-78.89889)))*60), "0' ") &amp; TEXT(((((ABS(-78.89889)-INT(ABS(-78.89889)))*60)- INT((ABS(-78.89889) - INT(ABS(-78.89889)))*60))*60), " 0''")</f>
        <v>-78°c c53  56</v>
      </c>
    </row>
    <row r="228" spans="1:10">
      <c r="A228" t="s">
        <v>10</v>
      </c>
      <c r="B228" s="2">
        <v>1200</v>
      </c>
      <c r="C228" t="s">
        <v>11</v>
      </c>
      <c r="D228" t="s">
        <v>614</v>
      </c>
      <c r="E228" t="s">
        <v>421</v>
      </c>
      <c r="F228" t="s">
        <v>95</v>
      </c>
      <c r="G228" t="s">
        <v>81</v>
      </c>
      <c r="H228" s="3">
        <v>39820.804166666669</v>
      </c>
      <c r="I228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228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229" spans="1:10">
      <c r="A229" t="s">
        <v>10</v>
      </c>
      <c r="B229" s="2">
        <v>1200</v>
      </c>
      <c r="C229" t="s">
        <v>50</v>
      </c>
      <c r="D229" t="s">
        <v>616</v>
      </c>
      <c r="E229" t="s">
        <v>617</v>
      </c>
      <c r="F229" t="s">
        <v>57</v>
      </c>
      <c r="G229" t="s">
        <v>15</v>
      </c>
      <c r="H229" s="3">
        <v>39820.826388888891</v>
      </c>
      <c r="I229" t="str">
        <f ca="1">TEXT(TRUNC(34.01944), "0" &amp; CHAR(176) &amp; " ") &amp; TEXT(INT((ABS(34.01944)- INT(ABS(34.01944)))*60), "0' ") &amp; TEXT(((((ABS(34.01944)-INT(ABS(34.01944)))*60)- INT((ABS(34.01944) - INT(ABS(34.01944)))*60))*60), " 0''")</f>
        <v>34°c c1  10</v>
      </c>
      <c r="J229" t="str">
        <f ca="1">TEXT(TRUNC(-118.49028), "0" &amp; CHAR(176) &amp; " ") &amp; TEXT(INT((ABS(-118.49028)- INT(ABS(-118.49028)))*60), "0' ") &amp; TEXT(((((ABS(-118.49028)-INT(ABS(-118.49028)))*60)- INT((ABS(-118.49028) - INT(ABS(-118.49028)))*60))*60), " 0''")</f>
        <v>-118°c c29  25</v>
      </c>
    </row>
    <row r="230" spans="1:10">
      <c r="A230" t="s">
        <v>10</v>
      </c>
      <c r="B230" s="2">
        <v>1200</v>
      </c>
      <c r="C230" t="s">
        <v>24</v>
      </c>
      <c r="D230" t="s">
        <v>618</v>
      </c>
      <c r="E230" t="s">
        <v>519</v>
      </c>
      <c r="F230" t="s">
        <v>27</v>
      </c>
      <c r="G230" t="s">
        <v>15</v>
      </c>
      <c r="H230" s="3">
        <v>39820.834027777775</v>
      </c>
      <c r="I230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230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231" spans="1:10">
      <c r="A231" t="s">
        <v>10</v>
      </c>
      <c r="B231" s="2">
        <v>1200</v>
      </c>
      <c r="C231" t="s">
        <v>33</v>
      </c>
      <c r="D231" t="s">
        <v>46</v>
      </c>
      <c r="E231" t="s">
        <v>285</v>
      </c>
      <c r="F231" t="s">
        <v>27</v>
      </c>
      <c r="G231" t="s">
        <v>15</v>
      </c>
      <c r="H231" s="3">
        <v>39820.84375</v>
      </c>
      <c r="I231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231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232" spans="1:10">
      <c r="A232" t="s">
        <v>10</v>
      </c>
      <c r="B232" s="2">
        <v>1200</v>
      </c>
      <c r="C232" t="s">
        <v>24</v>
      </c>
      <c r="D232" t="s">
        <v>619</v>
      </c>
      <c r="E232" t="s">
        <v>620</v>
      </c>
      <c r="F232" t="s">
        <v>80</v>
      </c>
      <c r="G232" t="s">
        <v>81</v>
      </c>
      <c r="H232" s="3">
        <v>39820.848611111112</v>
      </c>
      <c r="I232" t="str">
        <f ca="1">TEXT(TRUNC(52.2666667), "0" &amp; CHAR(176) &amp; " ") &amp; TEXT(INT((ABS(52.2666667)- INT(ABS(52.2666667)))*60), "0' ") &amp; TEXT(((((ABS(52.2666667)-INT(ABS(52.2666667)))*60)- INT((ABS(52.2666667) - INT(ABS(52.2666667)))*60))*60), " 0''")</f>
        <v>52°c c16  0</v>
      </c>
      <c r="J232" t="str">
        <f ca="1">TEXT(TRUNC(-113.8), "0" &amp; CHAR(176) &amp; " ") &amp; TEXT(INT((ABS(-113.8)- INT(ABS(-113.8)))*60), "0' ") &amp; TEXT(((((ABS(-113.8)-INT(ABS(-113.8)))*60)- INT((ABS(-113.8) - INT(ABS(-113.8)))*60))*60), " 0''")</f>
        <v>-113°c c47  60</v>
      </c>
    </row>
    <row r="233" spans="1:10">
      <c r="A233" t="s">
        <v>10</v>
      </c>
      <c r="B233" s="2">
        <v>1200</v>
      </c>
      <c r="C233" t="s">
        <v>11</v>
      </c>
      <c r="D233" t="s">
        <v>621</v>
      </c>
      <c r="E233" t="s">
        <v>622</v>
      </c>
      <c r="F233" t="s">
        <v>343</v>
      </c>
      <c r="G233" t="s">
        <v>15</v>
      </c>
      <c r="H233" s="3">
        <v>39820.871527777781</v>
      </c>
      <c r="I233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233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234" spans="1:10">
      <c r="A234" t="s">
        <v>10</v>
      </c>
      <c r="B234" s="2">
        <v>1200</v>
      </c>
      <c r="C234" t="s">
        <v>11</v>
      </c>
      <c r="D234" t="s">
        <v>623</v>
      </c>
      <c r="E234" t="s">
        <v>552</v>
      </c>
      <c r="F234" t="s">
        <v>553</v>
      </c>
      <c r="G234" t="s">
        <v>15</v>
      </c>
      <c r="H234" s="3">
        <v>39820.936805555553</v>
      </c>
      <c r="I234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234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235" spans="1:10">
      <c r="A235" t="s">
        <v>10</v>
      </c>
      <c r="B235" s="2">
        <v>1200</v>
      </c>
      <c r="C235" t="s">
        <v>24</v>
      </c>
      <c r="D235" t="s">
        <v>624</v>
      </c>
      <c r="E235" t="s">
        <v>625</v>
      </c>
      <c r="F235" t="s">
        <v>626</v>
      </c>
      <c r="G235" t="s">
        <v>597</v>
      </c>
      <c r="H235" s="3">
        <v>39821.00277777778</v>
      </c>
      <c r="I235" t="str">
        <f ca="1">TEXT(TRUNC(-39.0666667), "0" &amp; CHAR(176) &amp; " ") &amp; TEXT(INT((ABS(-39.0666667)- INT(ABS(-39.0666667)))*60), "0' ") &amp; TEXT(((((ABS(-39.0666667)-INT(ABS(-39.0666667)))*60)- INT((ABS(-39.0666667) - INT(ABS(-39.0666667)))*60))*60), " 0''")</f>
        <v>-39°c c4  0</v>
      </c>
      <c r="J235" t="str">
        <f ca="1">TEXT(TRUNC(174.0833333), "0" &amp; CHAR(176) &amp; " ") &amp; TEXT(INT((ABS(174.0833333)- INT(ABS(174.0833333)))*60), "0' ") &amp; TEXT(((((ABS(174.0833333)-INT(ABS(174.0833333)))*60)- INT((ABS(174.0833333) - INT(ABS(174.0833333)))*60))*60), " 0''")</f>
        <v>174°c c4  60</v>
      </c>
    </row>
    <row r="236" spans="1:10">
      <c r="A236" t="s">
        <v>10</v>
      </c>
      <c r="B236" s="2">
        <v>1200</v>
      </c>
      <c r="C236" t="s">
        <v>24</v>
      </c>
      <c r="D236" t="s">
        <v>627</v>
      </c>
      <c r="E236" t="s">
        <v>628</v>
      </c>
      <c r="F236" t="s">
        <v>57</v>
      </c>
      <c r="G236" t="s">
        <v>15</v>
      </c>
      <c r="H236" s="3">
        <v>39821.029166666667</v>
      </c>
      <c r="I236" t="str">
        <f ca="1">TEXT(TRUNC(37.22667), "0" &amp; CHAR(176) &amp; " ") &amp; TEXT(INT((ABS(37.22667)- INT(ABS(37.22667)))*60), "0' ") &amp; TEXT(((((ABS(37.22667)-INT(ABS(37.22667)))*60)- INT((ABS(37.22667) - INT(ABS(37.22667)))*60))*60), " 0''")</f>
        <v>37°c c13  36</v>
      </c>
      <c r="J236" t="str">
        <f ca="1">TEXT(TRUNC(-121.97361), "0" &amp; CHAR(176) &amp; " ") &amp; TEXT(INT((ABS(-121.97361)- INT(ABS(-121.97361)))*60), "0' ") &amp; TEXT(((((ABS(-121.97361)-INT(ABS(-121.97361)))*60)- INT((ABS(-121.97361) - INT(ABS(-121.97361)))*60))*60), " 0''")</f>
        <v>-121°c c58  25</v>
      </c>
    </row>
    <row r="237" spans="1:10">
      <c r="A237" t="s">
        <v>10</v>
      </c>
      <c r="B237" s="2">
        <v>1200</v>
      </c>
      <c r="C237" t="s">
        <v>11</v>
      </c>
      <c r="D237" t="s">
        <v>629</v>
      </c>
      <c r="E237" t="s">
        <v>630</v>
      </c>
      <c r="F237" t="s">
        <v>388</v>
      </c>
      <c r="G237" t="s">
        <v>75</v>
      </c>
      <c r="H237" s="3">
        <v>39821.082638888889</v>
      </c>
      <c r="I237" t="str">
        <f ca="1">TEXT(TRUNC(46.2333333), "0" &amp; CHAR(176) &amp; " ") &amp; TEXT(INT((ABS(46.2333333)- INT(ABS(46.2333333)))*60), "0' ") &amp; TEXT(((((ABS(46.2333333)-INT(ABS(46.2333333)))*60)- INT((ABS(46.2333333) - INT(ABS(46.2333333)))*60))*60), " 0''")</f>
        <v>46°c c13  60</v>
      </c>
      <c r="J237" t="str">
        <f ca="1">TEXT(TRUNC(6.2), "0" &amp; CHAR(176) &amp; " ") &amp; TEXT(INT((ABS(6.2)- INT(ABS(6.2)))*60), "0' ") &amp; TEXT(((((ABS(6.2)-INT(ABS(6.2)))*60)- INT((ABS(6.2) - INT(ABS(6.2)))*60))*60), " 0''")</f>
        <v>6°c c12  0</v>
      </c>
    </row>
    <row r="238" spans="1:10">
      <c r="A238" t="s">
        <v>10</v>
      </c>
      <c r="B238" s="2">
        <v>1200</v>
      </c>
      <c r="C238" t="s">
        <v>11</v>
      </c>
      <c r="D238" t="s">
        <v>631</v>
      </c>
      <c r="E238" t="s">
        <v>632</v>
      </c>
      <c r="F238" t="s">
        <v>53</v>
      </c>
      <c r="G238" t="s">
        <v>54</v>
      </c>
      <c r="H238" s="3">
        <v>39821.115277777775</v>
      </c>
      <c r="I238" t="str">
        <f ca="1">TEXT(TRUNC(51.4166667), "0" &amp; CHAR(176) &amp; " ") &amp; TEXT(INT((ABS(51.4166667)- INT(ABS(51.4166667)))*60), "0' ") &amp; TEXT(((((ABS(51.4166667)-INT(ABS(51.4166667)))*60)- INT((ABS(51.4166667) - INT(ABS(51.4166667)))*60))*60), " 0''")</f>
        <v>51°c c25  0</v>
      </c>
      <c r="J238" t="str">
        <f ca="1">TEXT(TRUNC(0.1166667), "0" &amp; CHAR(176) &amp; " ") &amp; TEXT(INT((ABS(0.1166667)- INT(ABS(0.1166667)))*60), "0' ") &amp; TEXT(((((ABS(0.1166667)-INT(ABS(0.1166667)))*60)- INT((ABS(0.1166667) - INT(ABS(0.1166667)))*60))*60), " 0''")</f>
        <v>0°c c7  0</v>
      </c>
    </row>
    <row r="239" spans="1:10">
      <c r="A239" t="s">
        <v>10</v>
      </c>
      <c r="B239" s="2">
        <v>1200</v>
      </c>
      <c r="C239" t="s">
        <v>11</v>
      </c>
      <c r="D239" t="s">
        <v>635</v>
      </c>
      <c r="E239" t="s">
        <v>636</v>
      </c>
      <c r="F239" t="s">
        <v>45</v>
      </c>
      <c r="G239" t="s">
        <v>15</v>
      </c>
      <c r="H239" s="3">
        <v>39821.136111111111</v>
      </c>
      <c r="I239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239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240" spans="1:10">
      <c r="A240" t="s">
        <v>10</v>
      </c>
      <c r="B240" s="2">
        <v>1200</v>
      </c>
      <c r="C240" t="s">
        <v>24</v>
      </c>
      <c r="D240" t="s">
        <v>637</v>
      </c>
      <c r="E240" t="s">
        <v>638</v>
      </c>
      <c r="F240" t="s">
        <v>53</v>
      </c>
      <c r="G240" t="s">
        <v>54</v>
      </c>
      <c r="H240" s="3">
        <v>39821.145138888889</v>
      </c>
      <c r="I240" t="str">
        <f ca="1">TEXT(TRUNC(53.4166667), "0" &amp; CHAR(176) &amp; " ") &amp; TEXT(INT((ABS(53.4166667)- INT(ABS(53.4166667)))*60), "0' ") &amp; TEXT(((((ABS(53.4166667)-INT(ABS(53.4166667)))*60)- INT((ABS(53.4166667) - INT(ABS(53.4166667)))*60))*60), " 0''")</f>
        <v>53°c c25  0</v>
      </c>
      <c r="J240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241" spans="1:10">
      <c r="A241" t="s">
        <v>10</v>
      </c>
      <c r="B241" s="2">
        <v>1200</v>
      </c>
      <c r="C241" t="s">
        <v>11</v>
      </c>
      <c r="D241" t="s">
        <v>639</v>
      </c>
      <c r="E241" t="s">
        <v>362</v>
      </c>
      <c r="F241" t="s">
        <v>14</v>
      </c>
      <c r="G241" t="s">
        <v>15</v>
      </c>
      <c r="H241" s="3">
        <v>39821.163888888892</v>
      </c>
      <c r="I241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241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242" spans="1:10">
      <c r="A242" t="s">
        <v>10</v>
      </c>
      <c r="B242" s="2">
        <v>1200</v>
      </c>
      <c r="C242" t="s">
        <v>24</v>
      </c>
      <c r="D242" t="s">
        <v>640</v>
      </c>
      <c r="E242" t="s">
        <v>641</v>
      </c>
      <c r="F242" t="s">
        <v>642</v>
      </c>
      <c r="G242" t="s">
        <v>643</v>
      </c>
      <c r="H242" s="3">
        <v>39821.177083333336</v>
      </c>
      <c r="I242" t="str">
        <f ca="1">TEXT(TRUNC(54.35), "0" &amp; CHAR(176) &amp; " ") &amp; TEXT(INT((ABS(54.35)- INT(ABS(54.35)))*60), "0' ") &amp; TEXT(((((ABS(54.35)-INT(ABS(54.35)))*60)- INT((ABS(54.35) - INT(ABS(54.35)))*60))*60), " 0''")</f>
        <v>54°c c21  0</v>
      </c>
      <c r="J242" t="str">
        <f ca="1">TEXT(TRUNC(18.6666667), "0" &amp; CHAR(176) &amp; " ") &amp; TEXT(INT((ABS(18.6666667)- INT(ABS(18.6666667)))*60), "0' ") &amp; TEXT(((((ABS(18.6666667)-INT(ABS(18.6666667)))*60)- INT((ABS(18.6666667) - INT(ABS(18.6666667)))*60))*60), " 0''")</f>
        <v>18°c c40  0</v>
      </c>
    </row>
    <row r="243" spans="1:10">
      <c r="A243" t="s">
        <v>10</v>
      </c>
      <c r="B243" s="2">
        <v>1200</v>
      </c>
      <c r="C243" t="s">
        <v>24</v>
      </c>
      <c r="D243" t="s">
        <v>644</v>
      </c>
      <c r="E243" t="s">
        <v>645</v>
      </c>
      <c r="F243" t="s">
        <v>513</v>
      </c>
      <c r="G243" t="s">
        <v>65</v>
      </c>
      <c r="H243" s="3">
        <v>39821.177777777775</v>
      </c>
      <c r="I243" t="str">
        <f ca="1">TEXT(TRUNC(53.4508333), "0" &amp; CHAR(176) &amp; " ") &amp; TEXT(INT((ABS(53.4508333)- INT(ABS(53.4508333)))*60), "0' ") &amp; TEXT(((((ABS(53.4508333)-INT(ABS(53.4508333)))*60)- INT((ABS(53.4508333) - INT(ABS(53.4508333)))*60))*60), " 0''")</f>
        <v>53°c c27  3</v>
      </c>
      <c r="J243" t="str">
        <f ca="1">TEXT(TRUNC(-6.1544444), "0" &amp; CHAR(176) &amp; " ") &amp; TEXT(INT((ABS(-6.1544444)- INT(ABS(-6.1544444)))*60), "0' ") &amp; TEXT(((((ABS(-6.1544444)-INT(ABS(-6.1544444)))*60)- INT((ABS(-6.1544444) - INT(ABS(-6.1544444)))*60))*60), " 0''")</f>
        <v>-6°c c9  16</v>
      </c>
    </row>
    <row r="244" spans="1:10">
      <c r="A244" t="s">
        <v>10</v>
      </c>
      <c r="B244" s="2">
        <v>1200</v>
      </c>
      <c r="C244" t="s">
        <v>24</v>
      </c>
      <c r="D244" t="s">
        <v>646</v>
      </c>
      <c r="E244" t="s">
        <v>647</v>
      </c>
      <c r="F244" t="s">
        <v>543</v>
      </c>
      <c r="G244" t="s">
        <v>23</v>
      </c>
      <c r="H244" s="3">
        <v>39821.270138888889</v>
      </c>
      <c r="I244" t="str">
        <f ca="1">TEXT(TRUNC(49.9833333), "0" &amp; CHAR(176) &amp; " ") &amp; TEXT(INT((ABS(49.9833333)- INT(ABS(49.9833333)))*60), "0' ") &amp; TEXT(((((ABS(49.9833333)-INT(ABS(49.9833333)))*60)- INT((ABS(49.9833333) - INT(ABS(49.9833333)))*60))*60), " 0''")</f>
        <v>49°c c58  60</v>
      </c>
      <c r="J244" t="str">
        <f ca="1">TEXT(TRUNC(8.0666667), "0" &amp; CHAR(176) &amp; " ") &amp; TEXT(INT((ABS(8.0666667)- INT(ABS(8.0666667)))*60), "0' ") &amp; TEXT(((((ABS(8.0666667)-INT(ABS(8.0666667)))*60)- INT((ABS(8.0666667) - INT(ABS(8.0666667)))*60))*60), " 0''")</f>
        <v>8°c c4  0</v>
      </c>
    </row>
    <row r="245" spans="1:10">
      <c r="A245" t="s">
        <v>10</v>
      </c>
      <c r="B245" s="2">
        <v>1200</v>
      </c>
      <c r="C245" t="s">
        <v>11</v>
      </c>
      <c r="D245" t="s">
        <v>648</v>
      </c>
      <c r="E245" t="s">
        <v>649</v>
      </c>
      <c r="F245" t="s">
        <v>53</v>
      </c>
      <c r="G245" t="s">
        <v>54</v>
      </c>
      <c r="H245" s="3">
        <v>39821.30972222222</v>
      </c>
      <c r="I245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245" t="str">
        <f ca="1">TEXT(TRUNC(-1.8833333), "0" &amp; CHAR(176) &amp; " ") &amp; TEXT(INT((ABS(-1.8833333)- INT(ABS(-1.8833333)))*60), "0' ") &amp; TEXT(((((ABS(-1.8833333)-INT(ABS(-1.8833333)))*60)- INT((ABS(-1.8833333) - INT(ABS(-1.8833333)))*60))*60), " 0''")</f>
        <v>-1°c c52  60</v>
      </c>
    </row>
    <row r="246" spans="1:10">
      <c r="A246" t="s">
        <v>10</v>
      </c>
      <c r="B246" s="2">
        <v>1200</v>
      </c>
      <c r="C246" t="s">
        <v>50</v>
      </c>
      <c r="D246" t="s">
        <v>650</v>
      </c>
      <c r="E246" t="s">
        <v>651</v>
      </c>
      <c r="F246" t="s">
        <v>53</v>
      </c>
      <c r="G246" t="s">
        <v>54</v>
      </c>
      <c r="H246" s="3">
        <v>39821.34097222222</v>
      </c>
      <c r="I246" t="str">
        <f ca="1">TEXT(TRUNC(51.6333333), "0" &amp; CHAR(176) &amp; " ") &amp; TEXT(INT((ABS(51.6333333)- INT(ABS(51.6333333)))*60), "0' ") &amp; TEXT(((((ABS(51.6333333)-INT(ABS(51.6333333)))*60)- INT((ABS(51.6333333) - INT(ABS(51.6333333)))*60))*60), " 0''")</f>
        <v>51°c c37  60</v>
      </c>
      <c r="J246" t="str">
        <f ca="1">TEXT(TRUNC(-0.7666667), "0" &amp; CHAR(176) &amp; " ") &amp; TEXT(INT((ABS(-0.7666667)- INT(ABS(-0.7666667)))*60), "0' ") &amp; TEXT(((((ABS(-0.7666667)-INT(ABS(-0.7666667)))*60)- INT((ABS(-0.7666667) - INT(ABS(-0.7666667)))*60))*60), " 0''")</f>
        <v>0°c c46  0</v>
      </c>
    </row>
    <row r="247" spans="1:10">
      <c r="A247" t="s">
        <v>10</v>
      </c>
      <c r="B247" s="2">
        <v>1200</v>
      </c>
      <c r="C247" t="s">
        <v>11</v>
      </c>
      <c r="D247" t="s">
        <v>652</v>
      </c>
      <c r="E247" t="s">
        <v>653</v>
      </c>
      <c r="F247" t="s">
        <v>14</v>
      </c>
      <c r="G247" t="s">
        <v>15</v>
      </c>
      <c r="H247" s="3">
        <v>39821.373611111114</v>
      </c>
      <c r="I247" t="str">
        <f ca="1">TEXT(TRUNC(40.86806), "0" &amp; CHAR(176) &amp; " ") &amp; TEXT(INT((ABS(40.86806)- INT(ABS(40.86806)))*60), "0' ") &amp; TEXT(((((ABS(40.86806)-INT(ABS(40.86806)))*60)- INT((ABS(40.86806) - INT(ABS(40.86806)))*60))*60), " 0''")</f>
        <v>40°c c52  5</v>
      </c>
      <c r="J247" t="str">
        <f ca="1">TEXT(TRUNC(-73.42611), "0" &amp; CHAR(176) &amp; " ") &amp; TEXT(INT((ABS(-73.42611)- INT(ABS(-73.42611)))*60), "0' ") &amp; TEXT(((((ABS(-73.42611)-INT(ABS(-73.42611)))*60)- INT((ABS(-73.42611) - INT(ABS(-73.42611)))*60))*60), " 0''")</f>
        <v>-73°c c25  34</v>
      </c>
    </row>
    <row r="248" spans="1:10">
      <c r="A248" t="s">
        <v>10</v>
      </c>
      <c r="B248" s="2">
        <v>1200</v>
      </c>
      <c r="C248" t="s">
        <v>24</v>
      </c>
      <c r="D248" t="s">
        <v>654</v>
      </c>
      <c r="E248" t="s">
        <v>655</v>
      </c>
      <c r="F248" t="s">
        <v>173</v>
      </c>
      <c r="G248" t="s">
        <v>174</v>
      </c>
      <c r="H248" s="3">
        <v>39821.404861111114</v>
      </c>
      <c r="I248" t="str">
        <f ca="1">TEXT(TRUNC(43.5333333), "0" &amp; CHAR(176) &amp; " ") &amp; TEXT(INT((ABS(43.5333333)- INT(ABS(43.5333333)))*60), "0' ") &amp; TEXT(((((ABS(43.5333333)-INT(ABS(43.5333333)))*60)- INT((ABS(43.5333333) - INT(ABS(43.5333333)))*60))*60), " 0''")</f>
        <v>43°c c31  60</v>
      </c>
      <c r="J248" t="str">
        <f ca="1">TEXT(TRUNC(5.4333333), "0" &amp; CHAR(176) &amp; " ") &amp; TEXT(INT((ABS(5.4333333)- INT(ABS(5.4333333)))*60), "0' ") &amp; TEXT(((((ABS(5.4333333)-INT(ABS(5.4333333)))*60)- INT((ABS(5.4333333) - INT(ABS(5.4333333)))*60))*60), " 0''")</f>
        <v>5°c c25  60</v>
      </c>
    </row>
    <row r="249" spans="1:10">
      <c r="A249" t="s">
        <v>10</v>
      </c>
      <c r="B249" s="2">
        <v>1200</v>
      </c>
      <c r="C249" t="s">
        <v>50</v>
      </c>
      <c r="D249" t="s">
        <v>656</v>
      </c>
      <c r="E249" t="s">
        <v>657</v>
      </c>
      <c r="F249" t="s">
        <v>252</v>
      </c>
      <c r="G249" t="s">
        <v>81</v>
      </c>
      <c r="H249" s="3">
        <v>39821.425694444442</v>
      </c>
      <c r="I249" t="str">
        <f ca="1">TEXT(TRUNC(54.4333333), "0" &amp; CHAR(176) &amp; " ") &amp; TEXT(INT((ABS(54.4333333)- INT(ABS(54.4333333)))*60), "0' ") &amp; TEXT(((((ABS(54.4333333)-INT(ABS(54.4333333)))*60)- INT((ABS(54.4333333) - INT(ABS(54.4333333)))*60))*60), " 0''")</f>
        <v>54°c c25  60</v>
      </c>
      <c r="J249" t="str">
        <f ca="1">TEXT(TRUNC(-124.25), "0" &amp; CHAR(176) &amp; " ") &amp; TEXT(INT((ABS(-124.25)- INT(ABS(-124.25)))*60), "0' ") &amp; TEXT(((((ABS(-124.25)-INT(ABS(-124.25)))*60)- INT((ABS(-124.25) - INT(ABS(-124.25)))*60))*60), " 0''")</f>
        <v>-124°c c15  0</v>
      </c>
    </row>
    <row r="250" spans="1:10">
      <c r="A250" t="s">
        <v>10</v>
      </c>
      <c r="B250" s="2">
        <v>1200</v>
      </c>
      <c r="C250" t="s">
        <v>24</v>
      </c>
      <c r="D250" t="s">
        <v>658</v>
      </c>
      <c r="E250" t="s">
        <v>659</v>
      </c>
      <c r="F250" t="s">
        <v>95</v>
      </c>
      <c r="G250" t="s">
        <v>81</v>
      </c>
      <c r="H250" s="3">
        <v>39821.447222222225</v>
      </c>
      <c r="I250" t="str">
        <f ca="1">TEXT(TRUNC(43.9666667), "0" &amp; CHAR(176) &amp; " ") &amp; TEXT(INT((ABS(43.9666667)- INT(ABS(43.9666667)))*60), "0' ") &amp; TEXT(((((ABS(43.9666667)-INT(ABS(43.9666667)))*60)- INT((ABS(43.9666667) - INT(ABS(43.9666667)))*60))*60), " 0''")</f>
        <v>43°c c58  0</v>
      </c>
      <c r="J250" t="str">
        <f ca="1">TEXT(TRUNC(-80.7333333), "0" &amp; CHAR(176) &amp; " ") &amp; TEXT(INT((ABS(-80.7333333)- INT(ABS(-80.7333333)))*60), "0' ") &amp; TEXT(((((ABS(-80.7333333)-INT(ABS(-80.7333333)))*60)- INT((ABS(-80.7333333) - INT(ABS(-80.7333333)))*60))*60), " 0''")</f>
        <v>-80°c c43  60</v>
      </c>
    </row>
    <row r="251" spans="1:10">
      <c r="A251" t="s">
        <v>10</v>
      </c>
      <c r="B251" s="2">
        <v>1200</v>
      </c>
      <c r="C251" t="s">
        <v>50</v>
      </c>
      <c r="D251" t="s">
        <v>665</v>
      </c>
      <c r="E251" t="s">
        <v>666</v>
      </c>
      <c r="F251" t="s">
        <v>53</v>
      </c>
      <c r="G251" t="s">
        <v>54</v>
      </c>
      <c r="H251" s="3">
        <v>39821.496527777781</v>
      </c>
      <c r="I251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251" t="str">
        <f ca="1">TEXT(TRUNC(0.4333333), "0" &amp; CHAR(176) &amp; " ") &amp; TEXT(INT((ABS(0.4333333)- INT(ABS(0.4333333)))*60), "0' ") &amp; TEXT(((((ABS(0.4333333)-INT(ABS(0.4333333)))*60)- INT((ABS(0.4333333) - INT(ABS(0.4333333)))*60))*60), " 0''")</f>
        <v>0°c c25  60</v>
      </c>
    </row>
    <row r="252" spans="1:10">
      <c r="A252" t="s">
        <v>10</v>
      </c>
      <c r="B252" s="2">
        <v>1200</v>
      </c>
      <c r="C252" t="s">
        <v>50</v>
      </c>
      <c r="D252" t="s">
        <v>520</v>
      </c>
      <c r="E252" t="s">
        <v>100</v>
      </c>
      <c r="F252" t="s">
        <v>80</v>
      </c>
      <c r="G252" t="s">
        <v>81</v>
      </c>
      <c r="H252" s="3">
        <v>39821.502083333333</v>
      </c>
      <c r="I252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52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53" spans="1:10">
      <c r="A253" t="s">
        <v>10</v>
      </c>
      <c r="B253" s="2">
        <v>1200</v>
      </c>
      <c r="C253" t="s">
        <v>24</v>
      </c>
      <c r="D253" t="s">
        <v>667</v>
      </c>
      <c r="E253" t="s">
        <v>668</v>
      </c>
      <c r="F253" t="s">
        <v>57</v>
      </c>
      <c r="G253" t="s">
        <v>15</v>
      </c>
      <c r="H253" s="3">
        <v>39821.50277777778</v>
      </c>
      <c r="I253" t="str">
        <f ca="1">TEXT(TRUNC(35.36583), "0" &amp; CHAR(176) &amp; " ") &amp; TEXT(INT((ABS(35.36583)- INT(ABS(35.36583)))*60), "0' ") &amp; TEXT(((((ABS(35.36583)-INT(ABS(35.36583)))*60)- INT((ABS(35.36583) - INT(ABS(35.36583)))*60))*60), " 0''")</f>
        <v>35°c c21  57</v>
      </c>
      <c r="J253" t="str">
        <f ca="1">TEXT(TRUNC(-120.84889), "0" &amp; CHAR(176) &amp; " ") &amp; TEXT(INT((ABS(-120.84889)- INT(ABS(-120.84889)))*60), "0' ") &amp; TEXT(((((ABS(-120.84889)-INT(ABS(-120.84889)))*60)- INT((ABS(-120.84889) - INT(ABS(-120.84889)))*60))*60), " 0''")</f>
        <v>-120°c c50  56</v>
      </c>
    </row>
    <row r="254" spans="1:10">
      <c r="A254" t="s">
        <v>10</v>
      </c>
      <c r="B254" s="2">
        <v>1200</v>
      </c>
      <c r="C254" t="s">
        <v>11</v>
      </c>
      <c r="D254" t="s">
        <v>669</v>
      </c>
      <c r="E254" t="s">
        <v>670</v>
      </c>
      <c r="F254" t="s">
        <v>95</v>
      </c>
      <c r="G254" t="s">
        <v>81</v>
      </c>
      <c r="H254" s="3">
        <v>39821.531944444447</v>
      </c>
      <c r="I254" t="str">
        <f ca="1">TEXT(TRUNC(44.6), "0" &amp; CHAR(176) &amp; " ") &amp; TEXT(INT((ABS(44.6)- INT(ABS(44.6)))*60), "0' ") &amp; TEXT(((((ABS(44.6)-INT(ABS(44.6)))*60)- INT((ABS(44.6) - INT(ABS(44.6)))*60))*60), " 0''")</f>
        <v>44°c c36  0</v>
      </c>
      <c r="J254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255" spans="1:10">
      <c r="A255" t="s">
        <v>10</v>
      </c>
      <c r="B255" s="2">
        <v>1200</v>
      </c>
      <c r="C255" t="s">
        <v>24</v>
      </c>
      <c r="D255" t="s">
        <v>671</v>
      </c>
      <c r="E255" t="s">
        <v>562</v>
      </c>
      <c r="F255" t="s">
        <v>562</v>
      </c>
      <c r="G255" t="s">
        <v>85</v>
      </c>
      <c r="H255" s="3">
        <v>39821.551388888889</v>
      </c>
      <c r="I255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255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256" spans="1:10">
      <c r="A256" t="s">
        <v>10</v>
      </c>
      <c r="B256" s="2">
        <v>1200</v>
      </c>
      <c r="C256" t="s">
        <v>11</v>
      </c>
      <c r="D256" t="s">
        <v>672</v>
      </c>
      <c r="E256" t="s">
        <v>673</v>
      </c>
      <c r="F256" t="s">
        <v>90</v>
      </c>
      <c r="G256" t="s">
        <v>15</v>
      </c>
      <c r="H256" s="3">
        <v>39821.554861111108</v>
      </c>
      <c r="I256" t="str">
        <f ca="1">TEXT(TRUNC(38.9875), "0" &amp; CHAR(176) &amp; " ") &amp; TEXT(INT((ABS(38.9875)- INT(ABS(38.9875)))*60), "0' ") &amp; TEXT(((((ABS(38.9875)-INT(ABS(38.9875)))*60)- INT((ABS(38.9875) - INT(ABS(38.9875)))*60))*60), " 0''")</f>
        <v>38°c c59  15</v>
      </c>
      <c r="J256" t="str">
        <f ca="1">TEXT(TRUNC(-76.82083), "0" &amp; CHAR(176) &amp; " ") &amp; TEXT(INT((ABS(-76.82083)- INT(ABS(-76.82083)))*60), "0' ") &amp; TEXT(((((ABS(-76.82083)-INT(ABS(-76.82083)))*60)- INT((ABS(-76.82083) - INT(ABS(-76.82083)))*60))*60), " 0''")</f>
        <v>-76°c c49  15</v>
      </c>
    </row>
    <row r="257" spans="1:10">
      <c r="A257" t="s">
        <v>10</v>
      </c>
      <c r="B257" s="2">
        <v>1200</v>
      </c>
      <c r="C257" t="s">
        <v>24</v>
      </c>
      <c r="D257" t="s">
        <v>674</v>
      </c>
      <c r="E257" t="s">
        <v>675</v>
      </c>
      <c r="F257" t="s">
        <v>71</v>
      </c>
      <c r="G257" t="s">
        <v>676</v>
      </c>
      <c r="H257" s="3">
        <v>39821.564583333333</v>
      </c>
      <c r="I257" t="str">
        <f ca="1">TEXT(TRUNC(43.7333333), "0" &amp; CHAR(176) &amp; " ") &amp; TEXT(INT((ABS(43.7333333)- INT(ABS(43.7333333)))*60), "0' ") &amp; TEXT(((((ABS(43.7333333)-INT(ABS(43.7333333)))*60)- INT((ABS(43.7333333) - INT(ABS(43.7333333)))*60))*60), " 0''")</f>
        <v>43°c c43  60</v>
      </c>
      <c r="J257" t="str">
        <f ca="1">TEXT(TRUNC(7.4166667), "0" &amp; CHAR(176) &amp; " ") &amp; TEXT(INT((ABS(7.4166667)- INT(ABS(7.4166667)))*60), "0' ") &amp; TEXT(((((ABS(7.4166667)-INT(ABS(7.4166667)))*60)- INT((ABS(7.4166667) - INT(ABS(7.4166667)))*60))*60), " 0''")</f>
        <v>7°c c25  0</v>
      </c>
    </row>
    <row r="258" spans="1:10">
      <c r="A258" t="s">
        <v>10</v>
      </c>
      <c r="B258" s="2">
        <v>1200</v>
      </c>
      <c r="C258" t="s">
        <v>24</v>
      </c>
      <c r="D258" t="s">
        <v>677</v>
      </c>
      <c r="E258" t="s">
        <v>678</v>
      </c>
      <c r="F258" t="s">
        <v>95</v>
      </c>
      <c r="G258" t="s">
        <v>81</v>
      </c>
      <c r="H258" s="3">
        <v>39821.56527777778</v>
      </c>
      <c r="I258" t="str">
        <f ca="1">TEXT(TRUNC(44.1666667), "0" &amp; CHAR(176) &amp; " ") &amp; TEXT(INT((ABS(44.1666667)- INT(ABS(44.1666667)))*60), "0' ") &amp; TEXT(((((ABS(44.1666667)-INT(ABS(44.1666667)))*60)- INT((ABS(44.1666667) - INT(ABS(44.1666667)))*60))*60), " 0''")</f>
        <v>44°c c10  0</v>
      </c>
      <c r="J258" t="str">
        <f ca="1">TEXT(TRUNC(-77.3833333), "0" &amp; CHAR(176) &amp; " ") &amp; TEXT(INT((ABS(-77.3833333)- INT(ABS(-77.3833333)))*60), "0' ") &amp; TEXT(((((ABS(-77.3833333)-INT(ABS(-77.3833333)))*60)- INT((ABS(-77.3833333) - INT(ABS(-77.3833333)))*60))*60), " 0''")</f>
        <v>-77°c c22  60</v>
      </c>
    </row>
    <row r="259" spans="1:10">
      <c r="A259" t="s">
        <v>10</v>
      </c>
      <c r="B259" s="2">
        <v>1200</v>
      </c>
      <c r="C259" t="s">
        <v>33</v>
      </c>
      <c r="D259" t="s">
        <v>679</v>
      </c>
      <c r="E259" t="s">
        <v>490</v>
      </c>
      <c r="F259" t="s">
        <v>57</v>
      </c>
      <c r="G259" t="s">
        <v>15</v>
      </c>
      <c r="H259" s="3">
        <v>39821.586111111108</v>
      </c>
      <c r="I259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259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260" spans="1:10">
      <c r="A260" t="s">
        <v>10</v>
      </c>
      <c r="B260" s="2">
        <v>1200</v>
      </c>
      <c r="C260" t="s">
        <v>24</v>
      </c>
      <c r="D260" t="s">
        <v>680</v>
      </c>
      <c r="E260" t="s">
        <v>681</v>
      </c>
      <c r="F260" t="s">
        <v>90</v>
      </c>
      <c r="G260" t="s">
        <v>15</v>
      </c>
      <c r="H260" s="3">
        <v>39821.636111111111</v>
      </c>
      <c r="I260" t="str">
        <f ca="1">TEXT(TRUNC(39.53306), "0" &amp; CHAR(176) &amp; " ") &amp; TEXT(INT((ABS(39.53306)- INT(ABS(39.53306)))*60), "0' ") &amp; TEXT(((((ABS(39.53306)-INT(ABS(39.53306)))*60)- INT((ABS(39.53306) - INT(ABS(39.53306)))*60))*60), " 0''")</f>
        <v>39°c c31  59</v>
      </c>
      <c r="J260" t="str">
        <f ca="1">TEXT(TRUNC(-77.315), "0" &amp; CHAR(176) &amp; " ") &amp; TEXT(INT((ABS(-77.315)- INT(ABS(-77.315)))*60), "0' ") &amp; TEXT(((((ABS(-77.315)-INT(ABS(-77.315)))*60)- INT((ABS(-77.315) - INT(ABS(-77.315)))*60))*60), " 0''")</f>
        <v>-77°c c18  54</v>
      </c>
    </row>
    <row r="261" spans="1:10">
      <c r="A261" t="s">
        <v>10</v>
      </c>
      <c r="B261" s="2">
        <v>1200</v>
      </c>
      <c r="C261" t="s">
        <v>11</v>
      </c>
      <c r="D261" t="s">
        <v>600</v>
      </c>
      <c r="E261" t="s">
        <v>149</v>
      </c>
      <c r="F261" t="s">
        <v>98</v>
      </c>
      <c r="G261" t="s">
        <v>15</v>
      </c>
      <c r="H261" s="3">
        <v>39821.64375</v>
      </c>
      <c r="I261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261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262" spans="1:10">
      <c r="A262" t="s">
        <v>10</v>
      </c>
      <c r="B262" s="2">
        <v>1200</v>
      </c>
      <c r="C262" t="s">
        <v>24</v>
      </c>
      <c r="D262" t="s">
        <v>667</v>
      </c>
      <c r="E262" t="s">
        <v>682</v>
      </c>
      <c r="F262" t="s">
        <v>228</v>
      </c>
      <c r="G262" t="s">
        <v>15</v>
      </c>
      <c r="H262" s="3">
        <v>39821.683333333334</v>
      </c>
      <c r="I262" t="str">
        <f ca="1">TEXT(TRUNC(33.44833), "0" &amp; CHAR(176) &amp; " ") &amp; TEXT(INT((ABS(33.44833)- INT(ABS(33.44833)))*60), "0' ") &amp; TEXT(((((ABS(33.44833)-INT(ABS(33.44833)))*60)- INT((ABS(33.44833) - INT(ABS(33.44833)))*60))*60), " 0''")</f>
        <v>33°c c26  54</v>
      </c>
      <c r="J262" t="str">
        <f ca="1">TEXT(TRUNC(-112.07333), "0" &amp; CHAR(176) &amp; " ") &amp; TEXT(INT((ABS(-112.07333)- INT(ABS(-112.07333)))*60), "0' ") &amp; TEXT(((((ABS(-112.07333)-INT(ABS(-112.07333)))*60)- INT((ABS(-112.07333) - INT(ABS(-112.07333)))*60))*60), " 0''")</f>
        <v>-112°c c4  24</v>
      </c>
    </row>
    <row r="263" spans="1:10">
      <c r="A263" t="s">
        <v>10</v>
      </c>
      <c r="B263" s="2">
        <v>1200</v>
      </c>
      <c r="C263" t="s">
        <v>50</v>
      </c>
      <c r="D263" t="s">
        <v>683</v>
      </c>
      <c r="E263" t="s">
        <v>684</v>
      </c>
      <c r="F263" t="s">
        <v>179</v>
      </c>
      <c r="G263" t="s">
        <v>15</v>
      </c>
      <c r="H263" s="3">
        <v>39821.77847222222</v>
      </c>
      <c r="I263" t="str">
        <f ca="1">TEXT(TRUNC(40.92528), "0" &amp; CHAR(176) &amp; " ") &amp; TEXT(INT((ABS(40.92528)- INT(ABS(40.92528)))*60), "0' ") &amp; TEXT(((((ABS(40.92528)-INT(ABS(40.92528)))*60)- INT((ABS(40.92528) - INT(ABS(40.92528)))*60))*60), " 0''")</f>
        <v>40°c c55  31</v>
      </c>
      <c r="J263" t="str">
        <f ca="1">TEXT(TRUNC(-73.96333), "0" &amp; CHAR(176) &amp; " ") &amp; TEXT(INT((ABS(-73.96333)- INT(ABS(-73.96333)))*60), "0' ") &amp; TEXT(((((ABS(-73.96333)-INT(ABS(-73.96333)))*60)- INT((ABS(-73.96333) - INT(ABS(-73.96333)))*60))*60), " 0''")</f>
        <v>-73°c c57  48</v>
      </c>
    </row>
    <row r="264" spans="1:10">
      <c r="A264" t="s">
        <v>10</v>
      </c>
      <c r="B264" s="2">
        <v>1200</v>
      </c>
      <c r="C264" t="s">
        <v>24</v>
      </c>
      <c r="D264" t="s">
        <v>685</v>
      </c>
      <c r="E264" t="s">
        <v>686</v>
      </c>
      <c r="F264" t="s">
        <v>687</v>
      </c>
      <c r="G264" t="s">
        <v>15</v>
      </c>
      <c r="H264" s="3">
        <v>39821.786111111112</v>
      </c>
      <c r="I264" t="str">
        <f ca="1">TEXT(TRUNC(45.77611), "0" &amp; CHAR(176) &amp; " ") &amp; TEXT(INT((ABS(45.77611)- INT(ABS(45.77611)))*60), "0' ") &amp; TEXT(((((ABS(45.77611)-INT(ABS(45.77611)))*60)- INT((ABS(45.77611) - INT(ABS(45.77611)))*60))*60), " 0''")</f>
        <v>45°c c46  34</v>
      </c>
      <c r="J264" t="str">
        <f ca="1">TEXT(TRUNC(-111.17611), "0" &amp; CHAR(176) &amp; " ") &amp; TEXT(INT((ABS(-111.17611)- INT(ABS(-111.17611)))*60), "0' ") &amp; TEXT(((((ABS(-111.17611)-INT(ABS(-111.17611)))*60)- INT((ABS(-111.17611) - INT(ABS(-111.17611)))*60))*60), " 0''")</f>
        <v>-111°c c10  34</v>
      </c>
    </row>
    <row r="265" spans="1:10">
      <c r="A265" t="s">
        <v>10</v>
      </c>
      <c r="B265" s="2">
        <v>1200</v>
      </c>
      <c r="C265" t="s">
        <v>24</v>
      </c>
      <c r="D265" t="s">
        <v>114</v>
      </c>
      <c r="E265" t="s">
        <v>100</v>
      </c>
      <c r="F265" t="s">
        <v>80</v>
      </c>
      <c r="G265" t="s">
        <v>81</v>
      </c>
      <c r="H265" s="3">
        <v>39821.855555555558</v>
      </c>
      <c r="I26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26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266" spans="1:10">
      <c r="A266" t="s">
        <v>10</v>
      </c>
      <c r="B266" s="2">
        <v>1200</v>
      </c>
      <c r="C266" t="s">
        <v>24</v>
      </c>
      <c r="D266" t="s">
        <v>694</v>
      </c>
      <c r="E266" t="s">
        <v>695</v>
      </c>
      <c r="F266" t="s">
        <v>57</v>
      </c>
      <c r="G266" t="s">
        <v>15</v>
      </c>
      <c r="H266" s="3">
        <v>39821.869444444441</v>
      </c>
      <c r="I266" t="str">
        <f ca="1">TEXT(TRUNC(33.88861), "0" &amp; CHAR(176) &amp; " ") &amp; TEXT(INT((ABS(33.88861)- INT(ABS(33.88861)))*60), "0' ") &amp; TEXT(((((ABS(33.88861)-INT(ABS(33.88861)))*60)- INT((ABS(33.88861) - INT(ABS(33.88861)))*60))*60), " 0''")</f>
        <v>33°c c53  19</v>
      </c>
      <c r="J266" t="str">
        <f ca="1">TEXT(TRUNC(-117.81222), "0" &amp; CHAR(176) &amp; " ") &amp; TEXT(INT((ABS(-117.81222)- INT(ABS(-117.81222)))*60), "0' ") &amp; TEXT(((((ABS(-117.81222)-INT(ABS(-117.81222)))*60)- INT((ABS(-117.81222) - INT(ABS(-117.81222)))*60))*60), " 0''")</f>
        <v>-117°c c48  44</v>
      </c>
    </row>
    <row r="267" spans="1:10">
      <c r="A267" t="s">
        <v>10</v>
      </c>
      <c r="B267" s="2">
        <v>1200</v>
      </c>
      <c r="C267" t="s">
        <v>24</v>
      </c>
      <c r="D267" t="s">
        <v>696</v>
      </c>
      <c r="E267" t="s">
        <v>697</v>
      </c>
      <c r="F267" t="s">
        <v>105</v>
      </c>
      <c r="G267" t="s">
        <v>106</v>
      </c>
      <c r="H267" s="3">
        <v>39821.958333333336</v>
      </c>
      <c r="I267" t="str">
        <f ca="1">TEXT(TRUNC(41.1594444), "0" &amp; CHAR(176) &amp; " ") &amp; TEXT(INT((ABS(41.1594444)- INT(ABS(41.1594444)))*60), "0' ") &amp; TEXT(((((ABS(41.1594444)-INT(ABS(41.1594444)))*60)- INT((ABS(41.1594444) - INT(ABS(41.1594444)))*60))*60), " 0''")</f>
        <v>41°c c9  34</v>
      </c>
      <c r="J267" t="str">
        <f ca="1">TEXT(TRUNC(28.9127778), "0" &amp; CHAR(176) &amp; " ") &amp; TEXT(INT((ABS(28.9127778)- INT(ABS(28.9127778)))*60), "0' ") &amp; TEXT(((((ABS(28.9127778)-INT(ABS(28.9127778)))*60)- INT((ABS(28.9127778) - INT(ABS(28.9127778)))*60))*60), " 0''")</f>
        <v>28°c c54  46</v>
      </c>
    </row>
    <row r="268" spans="1:10">
      <c r="A268" t="s">
        <v>10</v>
      </c>
      <c r="B268" s="2">
        <v>1200</v>
      </c>
      <c r="C268" t="s">
        <v>24</v>
      </c>
      <c r="D268" t="s">
        <v>698</v>
      </c>
      <c r="E268" t="s">
        <v>699</v>
      </c>
      <c r="F268" t="s">
        <v>267</v>
      </c>
      <c r="G268" t="s">
        <v>49</v>
      </c>
      <c r="H268" s="3">
        <v>39821.986111111109</v>
      </c>
      <c r="I268" t="str">
        <f ca="1">TEXT(TRUNC(-33.7833333), "0" &amp; CHAR(176) &amp; " ") &amp; TEXT(INT((ABS(-33.7833333)- INT(ABS(-33.7833333)))*60), "0' ") &amp; TEXT(((((ABS(-33.7833333)-INT(ABS(-33.7833333)))*60)- INT((ABS(-33.7833333) - INT(ABS(-33.7833333)))*60))*60), " 0''")</f>
        <v>-33°c c46  60</v>
      </c>
      <c r="J268" t="str">
        <f ca="1">TEXT(TRUNC(151.1666667), "0" &amp; CHAR(176) &amp; " ") &amp; TEXT(INT((ABS(151.1666667)- INT(ABS(151.1666667)))*60), "0' ") &amp; TEXT(((((ABS(151.1666667)-INT(ABS(151.1666667)))*60)- INT((ABS(151.1666667) - INT(ABS(151.1666667)))*60))*60), " 0''")</f>
        <v>151°c c10  0</v>
      </c>
    </row>
    <row r="269" spans="1:10">
      <c r="A269" t="s">
        <v>10</v>
      </c>
      <c r="B269" s="2">
        <v>1200</v>
      </c>
      <c r="C269" t="s">
        <v>24</v>
      </c>
      <c r="D269" t="s">
        <v>700</v>
      </c>
      <c r="E269" t="s">
        <v>701</v>
      </c>
      <c r="F269" t="s">
        <v>323</v>
      </c>
      <c r="G269" t="s">
        <v>174</v>
      </c>
      <c r="H269" s="3">
        <v>39822.05</v>
      </c>
      <c r="I269" t="str">
        <f ca="1">TEXT(TRUNC(48.65), "0" &amp; CHAR(176) &amp; " ") &amp; TEXT(INT((ABS(48.65)- INT(ABS(48.65)))*60), "0' ") &amp; TEXT(((((ABS(48.65)-INT(ABS(48.65)))*60)- INT((ABS(48.65) - INT(ABS(48.65)))*60))*60), " 0''")</f>
        <v>48°c c38  60</v>
      </c>
      <c r="J269" t="str">
        <f ca="1">TEXT(TRUNC(1.8333333), "0" &amp; CHAR(176) &amp; " ") &amp; TEXT(INT((ABS(1.8333333)- INT(ABS(1.8333333)))*60), "0' ") &amp; TEXT(((((ABS(1.8333333)-INT(ABS(1.8333333)))*60)- INT((ABS(1.8333333) - INT(ABS(1.8333333)))*60))*60), " 0''")</f>
        <v>1°c c49  60</v>
      </c>
    </row>
    <row r="270" spans="1:10">
      <c r="A270" t="s">
        <v>10</v>
      </c>
      <c r="B270" s="2">
        <v>1200</v>
      </c>
      <c r="C270" t="s">
        <v>24</v>
      </c>
      <c r="D270" t="s">
        <v>704</v>
      </c>
      <c r="E270" t="s">
        <v>705</v>
      </c>
      <c r="F270" t="s">
        <v>706</v>
      </c>
      <c r="G270" t="s">
        <v>54</v>
      </c>
      <c r="H270" s="3">
        <v>39822.151388888888</v>
      </c>
      <c r="I270" t="str">
        <f ca="1">TEXT(TRUNC(54.4666667), "0" &amp; CHAR(176) &amp; " ") &amp; TEXT(INT((ABS(54.4666667)- INT(ABS(54.4666667)))*60), "0' ") &amp; TEXT(((((ABS(54.4666667)-INT(ABS(54.4666667)))*60)- INT((ABS(54.4666667) - INT(ABS(54.4666667)))*60))*60), " 0''")</f>
        <v>54°c c28  0</v>
      </c>
      <c r="J270" t="str">
        <f ca="1">TEXT(TRUNC(-6.3333333), "0" &amp; CHAR(176) &amp; " ") &amp; TEXT(INT((ABS(-6.3333333)- INT(ABS(-6.3333333)))*60), "0' ") &amp; TEXT(((((ABS(-6.3333333)-INT(ABS(-6.3333333)))*60)- INT((ABS(-6.3333333) - INT(ABS(-6.3333333)))*60))*60), " 0''")</f>
        <v>-6°c c19  60</v>
      </c>
    </row>
    <row r="271" spans="1:10">
      <c r="A271" t="s">
        <v>10</v>
      </c>
      <c r="B271" s="2">
        <v>1200</v>
      </c>
      <c r="C271" t="s">
        <v>24</v>
      </c>
      <c r="D271" t="s">
        <v>707</v>
      </c>
      <c r="E271" t="s">
        <v>708</v>
      </c>
      <c r="F271" t="s">
        <v>709</v>
      </c>
      <c r="G271" t="s">
        <v>159</v>
      </c>
      <c r="H271" s="3">
        <v>39822.21875</v>
      </c>
      <c r="I271" t="str">
        <f ca="1">TEXT(TRUNC(40.5333333), "0" &amp; CHAR(176) &amp; " ") &amp; TEXT(INT((ABS(40.5333333)- INT(ABS(40.5333333)))*60), "0' ") &amp; TEXT(((((ABS(40.5333333)-INT(ABS(40.5333333)))*60)- INT((ABS(40.5333333) - INT(ABS(40.5333333)))*60))*60), " 0''")</f>
        <v>40°c c31  60</v>
      </c>
      <c r="J271" t="str">
        <f ca="1">TEXT(TRUNC(-3.6333333), "0" &amp; CHAR(176) &amp; " ") &amp; TEXT(INT((ABS(-3.6333333)- INT(ABS(-3.6333333)))*60), "0' ") &amp; TEXT(((((ABS(-3.6333333)-INT(ABS(-3.6333333)))*60)- INT((ABS(-3.6333333) - INT(ABS(-3.6333333)))*60))*60), " 0''")</f>
        <v>-3°c c37  60</v>
      </c>
    </row>
    <row r="272" spans="1:10">
      <c r="A272" t="s">
        <v>10</v>
      </c>
      <c r="B272" s="2">
        <v>1200</v>
      </c>
      <c r="C272" t="s">
        <v>11</v>
      </c>
      <c r="D272" t="s">
        <v>710</v>
      </c>
      <c r="E272" t="s">
        <v>285</v>
      </c>
      <c r="F272" t="s">
        <v>27</v>
      </c>
      <c r="G272" t="s">
        <v>15</v>
      </c>
      <c r="H272" s="3">
        <v>39822.277083333334</v>
      </c>
      <c r="I272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272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273" spans="1:10">
      <c r="A273" t="s">
        <v>10</v>
      </c>
      <c r="B273" s="2">
        <v>1200</v>
      </c>
      <c r="C273" t="s">
        <v>24</v>
      </c>
      <c r="D273" t="s">
        <v>361</v>
      </c>
      <c r="E273" t="s">
        <v>711</v>
      </c>
      <c r="F273" t="s">
        <v>400</v>
      </c>
      <c r="G273" t="s">
        <v>15</v>
      </c>
      <c r="H273" s="3">
        <v>39822.325694444444</v>
      </c>
      <c r="I273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273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274" spans="1:10">
      <c r="A274" t="s">
        <v>10</v>
      </c>
      <c r="B274" s="2">
        <v>1200</v>
      </c>
      <c r="C274" t="s">
        <v>33</v>
      </c>
      <c r="D274" t="s">
        <v>712</v>
      </c>
      <c r="E274" t="s">
        <v>154</v>
      </c>
      <c r="F274" t="s">
        <v>80</v>
      </c>
      <c r="G274" t="s">
        <v>81</v>
      </c>
      <c r="H274" s="3">
        <v>39822.357638888891</v>
      </c>
      <c r="I274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274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275" spans="1:10">
      <c r="A275" t="s">
        <v>10</v>
      </c>
      <c r="B275" s="2">
        <v>1200</v>
      </c>
      <c r="C275" t="s">
        <v>50</v>
      </c>
      <c r="D275" t="s">
        <v>713</v>
      </c>
      <c r="E275" t="s">
        <v>714</v>
      </c>
      <c r="F275" t="s">
        <v>179</v>
      </c>
      <c r="G275" t="s">
        <v>15</v>
      </c>
      <c r="H275" s="3">
        <v>39822.372916666667</v>
      </c>
      <c r="I275" t="str">
        <f ca="1">TEXT(TRUNC(40.1478), "0" &amp; CHAR(176) &amp; " ") &amp; TEXT(INT((ABS(40.1478)- INT(ABS(40.1478)))*60), "0' ") &amp; TEXT(((((ABS(40.1478)-INT(ABS(40.1478)))*60)- INT((ABS(40.1478) - INT(ABS(40.1478)))*60))*60), " 0''")</f>
        <v>40°c c8  52</v>
      </c>
      <c r="J275" t="str">
        <f ca="1">TEXT(TRUNC(-74.2133), "0" &amp; CHAR(176) &amp; " ") &amp; TEXT(INT((ABS(-74.2133)- INT(ABS(-74.2133)))*60), "0' ") &amp; TEXT(((((ABS(-74.2133)-INT(ABS(-74.2133)))*60)- INT((ABS(-74.2133) - INT(ABS(-74.2133)))*60))*60), " 0''")</f>
        <v>-74°c c12  48</v>
      </c>
    </row>
    <row r="276" spans="1:10">
      <c r="A276" t="s">
        <v>10</v>
      </c>
      <c r="B276" s="2">
        <v>1200</v>
      </c>
      <c r="C276" t="s">
        <v>11</v>
      </c>
      <c r="D276" t="s">
        <v>715</v>
      </c>
      <c r="E276" t="s">
        <v>716</v>
      </c>
      <c r="F276" t="s">
        <v>197</v>
      </c>
      <c r="G276" t="s">
        <v>15</v>
      </c>
      <c r="H276" s="3">
        <v>39822.431944444441</v>
      </c>
      <c r="I276" t="str">
        <f ca="1">TEXT(TRUNC(36.47028), "0" &amp; CHAR(176) &amp; " ") &amp; TEXT(INT((ABS(36.47028)- INT(ABS(36.47028)))*60), "0' ") &amp; TEXT(((((ABS(36.47028)-INT(ABS(36.47028)))*60)- INT((ABS(36.47028) - INT(ABS(36.47028)))*60))*60), " 0''")</f>
        <v>36°c c28  13</v>
      </c>
      <c r="J276" t="str">
        <f ca="1">TEXT(TRUNC(-86.65139), "0" &amp; CHAR(176) &amp; " ") &amp; TEXT(INT((ABS(-86.65139)- INT(ABS(-86.65139)))*60), "0' ") &amp; TEXT(((((ABS(-86.65139)-INT(ABS(-86.65139)))*60)- INT((ABS(-86.65139) - INT(ABS(-86.65139)))*60))*60), " 0''")</f>
        <v>-86°c c39  5</v>
      </c>
    </row>
    <row r="277" spans="1:10">
      <c r="A277" t="s">
        <v>10</v>
      </c>
      <c r="B277" s="2">
        <v>1200</v>
      </c>
      <c r="C277" t="s">
        <v>24</v>
      </c>
      <c r="D277" t="s">
        <v>720</v>
      </c>
      <c r="E277" t="s">
        <v>721</v>
      </c>
      <c r="F277" t="s">
        <v>90</v>
      </c>
      <c r="G277" t="s">
        <v>15</v>
      </c>
      <c r="H277" s="3">
        <v>39822.468055555553</v>
      </c>
      <c r="I277" t="str">
        <f ca="1">TEXT(TRUNC(39.41944), "0" &amp; CHAR(176) &amp; " ") &amp; TEXT(INT((ABS(39.41944)- INT(ABS(39.41944)))*60), "0' ") &amp; TEXT(((((ABS(39.41944)-INT(ABS(39.41944)))*60)- INT((ABS(39.41944) - INT(ABS(39.41944)))*60))*60), " 0''")</f>
        <v>39°c c25  10</v>
      </c>
      <c r="J277" t="str">
        <f ca="1">TEXT(TRUNC(-76.78056), "0" &amp; CHAR(176) &amp; " ") &amp; TEXT(INT((ABS(-76.78056)- INT(ABS(-76.78056)))*60), "0' ") &amp; TEXT(((((ABS(-76.78056)-INT(ABS(-76.78056)))*60)- INT((ABS(-76.78056) - INT(ABS(-76.78056)))*60))*60), " 0''")</f>
        <v>-76°c c46  50</v>
      </c>
    </row>
    <row r="278" spans="1:10">
      <c r="A278" t="s">
        <v>10</v>
      </c>
      <c r="B278" s="2">
        <v>1200</v>
      </c>
      <c r="C278" t="s">
        <v>33</v>
      </c>
      <c r="D278" t="s">
        <v>456</v>
      </c>
      <c r="E278" t="s">
        <v>722</v>
      </c>
      <c r="F278" t="s">
        <v>365</v>
      </c>
      <c r="G278" t="s">
        <v>174</v>
      </c>
      <c r="H278" s="3">
        <v>39822.600694444445</v>
      </c>
      <c r="I278" t="str">
        <f ca="1">TEXT(TRUNC(47.9), "0" &amp; CHAR(176) &amp; " ") &amp; TEXT(INT((ABS(47.9)- INT(ABS(47.9)))*60), "0' ") &amp; TEXT(((((ABS(47.9)-INT(ABS(47.9)))*60)- INT((ABS(47.9) - INT(ABS(47.9)))*60))*60), " 0''")</f>
        <v>47°c c53  60</v>
      </c>
      <c r="J278" t="str">
        <f ca="1">TEXT(TRUNC(-2.1166667), "0" &amp; CHAR(176) &amp; " ") &amp; TEXT(INT((ABS(-2.1166667)- INT(ABS(-2.1166667)))*60), "0' ") &amp; TEXT(((((ABS(-2.1166667)-INT(ABS(-2.1166667)))*60)- INT((ABS(-2.1166667) - INT(ABS(-2.1166667)))*60))*60), " 0''")</f>
        <v>-2°c c7  0</v>
      </c>
    </row>
    <row r="279" spans="1:10">
      <c r="A279" t="s">
        <v>10</v>
      </c>
      <c r="B279" s="2">
        <v>1200</v>
      </c>
      <c r="C279" t="s">
        <v>24</v>
      </c>
      <c r="D279" t="s">
        <v>723</v>
      </c>
      <c r="E279" t="s">
        <v>724</v>
      </c>
      <c r="F279" t="s">
        <v>513</v>
      </c>
      <c r="G279" t="s">
        <v>65</v>
      </c>
      <c r="H279" s="3">
        <v>39822.602083333331</v>
      </c>
      <c r="I279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279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280" spans="1:10">
      <c r="A280" t="s">
        <v>10</v>
      </c>
      <c r="B280" s="2">
        <v>1200</v>
      </c>
      <c r="C280" t="s">
        <v>24</v>
      </c>
      <c r="D280" t="s">
        <v>725</v>
      </c>
      <c r="E280" t="s">
        <v>724</v>
      </c>
      <c r="F280" t="s">
        <v>513</v>
      </c>
      <c r="G280" t="s">
        <v>65</v>
      </c>
      <c r="H280" s="3">
        <v>39822.605555555558</v>
      </c>
      <c r="I280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280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281" spans="1:10">
      <c r="A281" t="s">
        <v>10</v>
      </c>
      <c r="B281" s="2">
        <v>1200</v>
      </c>
      <c r="C281" t="s">
        <v>24</v>
      </c>
      <c r="D281" t="s">
        <v>726</v>
      </c>
      <c r="E281" t="s">
        <v>727</v>
      </c>
      <c r="F281" t="s">
        <v>140</v>
      </c>
      <c r="G281" t="s">
        <v>15</v>
      </c>
      <c r="H281" s="3">
        <v>39822.609027777777</v>
      </c>
      <c r="I281" t="str">
        <f ca="1">TEXT(TRUNC(40.56222), "0" &amp; CHAR(176) &amp; " ") &amp; TEXT(INT((ABS(40.56222)- INT(ABS(40.56222)))*60), "0' ") &amp; TEXT(((((ABS(40.56222)-INT(ABS(40.56222)))*60)- INT((ABS(40.56222) - INT(ABS(40.56222)))*60))*60), " 0''")</f>
        <v>40°c c33  44</v>
      </c>
      <c r="J281" t="str">
        <f ca="1">TEXT(TRUNC(-111.92889), "0" &amp; CHAR(176) &amp; " ") &amp; TEXT(INT((ABS(-111.92889)- INT(ABS(-111.92889)))*60), "0' ") &amp; TEXT(((((ABS(-111.92889)-INT(ABS(-111.92889)))*60)- INT((ABS(-111.92889) - INT(ABS(-111.92889)))*60))*60), " 0''")</f>
        <v>-111°c c55  44</v>
      </c>
    </row>
    <row r="282" spans="1:10">
      <c r="A282" t="s">
        <v>10</v>
      </c>
      <c r="B282" s="2">
        <v>1200</v>
      </c>
      <c r="C282" t="s">
        <v>24</v>
      </c>
      <c r="D282" t="s">
        <v>728</v>
      </c>
      <c r="E282" t="s">
        <v>569</v>
      </c>
      <c r="F282" t="s">
        <v>267</v>
      </c>
      <c r="G282" t="s">
        <v>49</v>
      </c>
      <c r="H282" s="3">
        <v>39822.61875</v>
      </c>
      <c r="I282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282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283" spans="1:10">
      <c r="A283" t="s">
        <v>10</v>
      </c>
      <c r="B283" s="2">
        <v>1200</v>
      </c>
      <c r="C283" t="s">
        <v>24</v>
      </c>
      <c r="D283" t="s">
        <v>729</v>
      </c>
      <c r="E283" t="s">
        <v>730</v>
      </c>
      <c r="F283" t="s">
        <v>53</v>
      </c>
      <c r="G283" t="s">
        <v>54</v>
      </c>
      <c r="H283" s="3">
        <v>39822.621527777781</v>
      </c>
      <c r="I283" t="str">
        <f ca="1">TEXT(TRUNC(52.05), "0" &amp; CHAR(176) &amp; " ") &amp; TEXT(INT((ABS(52.05)- INT(ABS(52.05)))*60), "0' ") &amp; TEXT(((((ABS(52.05)-INT(ABS(52.05)))*60)- INT((ABS(52.05) - INT(ABS(52.05)))*60))*60), " 0''")</f>
        <v>52°c c2  60</v>
      </c>
      <c r="J283" t="str">
        <f ca="1">TEXT(TRUNC(-1.3333333), "0" &amp; CHAR(176) &amp; " ") &amp; TEXT(INT((ABS(-1.3333333)- INT(ABS(-1.3333333)))*60), "0' ") &amp; TEXT(((((ABS(-1.3333333)-INT(ABS(-1.3333333)))*60)- INT((ABS(-1.3333333) - INT(ABS(-1.3333333)))*60))*60), " 0''")</f>
        <v>-1°c c19  60</v>
      </c>
    </row>
    <row r="284" spans="1:10">
      <c r="A284" t="s">
        <v>10</v>
      </c>
      <c r="B284" s="2">
        <v>1200</v>
      </c>
      <c r="C284" t="s">
        <v>24</v>
      </c>
      <c r="D284" t="s">
        <v>731</v>
      </c>
      <c r="E284" t="s">
        <v>517</v>
      </c>
      <c r="F284" t="s">
        <v>68</v>
      </c>
      <c r="G284" t="s">
        <v>15</v>
      </c>
      <c r="H284" s="3">
        <v>39822.627083333333</v>
      </c>
      <c r="I284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284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285" spans="1:10">
      <c r="A285" t="s">
        <v>10</v>
      </c>
      <c r="B285" s="2">
        <v>1200</v>
      </c>
      <c r="C285" t="s">
        <v>11</v>
      </c>
      <c r="D285" t="s">
        <v>732</v>
      </c>
      <c r="E285" t="s">
        <v>733</v>
      </c>
      <c r="F285" t="s">
        <v>400</v>
      </c>
      <c r="G285" t="s">
        <v>15</v>
      </c>
      <c r="H285" s="3">
        <v>39822.64166666667</v>
      </c>
      <c r="I285" t="str">
        <f ca="1">TEXT(TRUNC(42.46444), "0" &amp; CHAR(176) &amp; " ") &amp; TEXT(INT((ABS(42.46444)- INT(ABS(42.46444)))*60), "0' ") &amp; TEXT(((((ABS(42.46444)-INT(ABS(42.46444)))*60)- INT((ABS(42.46444) - INT(ABS(42.46444)))*60))*60), " 0''")</f>
        <v>42°c c27  52</v>
      </c>
      <c r="J285" t="str">
        <f ca="1">TEXT(TRUNC(-83.37639), "0" &amp; CHAR(176) &amp; " ") &amp; TEXT(INT((ABS(-83.37639)- INT(ABS(-83.37639)))*60), "0' ") &amp; TEXT(((((ABS(-83.37639)-INT(ABS(-83.37639)))*60)- INT((ABS(-83.37639) - INT(ABS(-83.37639)))*60))*60), " 0''")</f>
        <v>-83°c c22  35</v>
      </c>
    </row>
    <row r="286" spans="1:10">
      <c r="A286" t="s">
        <v>10</v>
      </c>
      <c r="B286" s="2">
        <v>1200</v>
      </c>
      <c r="C286" t="s">
        <v>50</v>
      </c>
      <c r="D286" t="s">
        <v>734</v>
      </c>
      <c r="E286" t="s">
        <v>735</v>
      </c>
      <c r="F286" t="s">
        <v>53</v>
      </c>
      <c r="G286" t="s">
        <v>54</v>
      </c>
      <c r="H286" s="3">
        <v>39822.647222222222</v>
      </c>
      <c r="I286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286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287" spans="1:10">
      <c r="A287" t="s">
        <v>10</v>
      </c>
      <c r="B287" s="2">
        <v>1200</v>
      </c>
      <c r="C287" t="s">
        <v>11</v>
      </c>
      <c r="D287" t="s">
        <v>736</v>
      </c>
      <c r="E287" t="s">
        <v>737</v>
      </c>
      <c r="F287" t="s">
        <v>53</v>
      </c>
      <c r="G287" t="s">
        <v>54</v>
      </c>
      <c r="H287" s="3">
        <v>39822.665277777778</v>
      </c>
      <c r="I287" t="str">
        <f ca="1">TEXT(TRUNC(51.4), "0" &amp; CHAR(176) &amp; " ") &amp; TEXT(INT((ABS(51.4)- INT(ABS(51.4)))*60), "0' ") &amp; TEXT(((((ABS(51.4)-INT(ABS(51.4)))*60)- INT((ABS(51.4) - INT(ABS(51.4)))*60))*60), " 0''")</f>
        <v>51°c c23  60</v>
      </c>
      <c r="J287" t="str">
        <f ca="1">TEXT(TRUNC(-1.3166667), "0" &amp; CHAR(176) &amp; " ") &amp; TEXT(INT((ABS(-1.3166667)- INT(ABS(-1.3166667)))*60), "0' ") &amp; TEXT(((((ABS(-1.3166667)-INT(ABS(-1.3166667)))*60)- INT((ABS(-1.3166667) - INT(ABS(-1.3166667)))*60))*60), " 0''")</f>
        <v>-1°c c19  0</v>
      </c>
    </row>
    <row r="288" spans="1:10">
      <c r="A288" t="s">
        <v>10</v>
      </c>
      <c r="B288" s="2">
        <v>1200</v>
      </c>
      <c r="C288" t="s">
        <v>50</v>
      </c>
      <c r="D288" t="s">
        <v>600</v>
      </c>
      <c r="E288" t="s">
        <v>738</v>
      </c>
      <c r="F288" t="s">
        <v>562</v>
      </c>
      <c r="G288" t="s">
        <v>85</v>
      </c>
      <c r="H288" s="3">
        <v>39822.690972222219</v>
      </c>
      <c r="I288" t="str">
        <f ca="1">TEXT(TRUNC(59.8608333), "0" &amp; CHAR(176) &amp; " ") &amp; TEXT(INT((ABS(59.8608333)- INT(ABS(59.8608333)))*60), "0' ") &amp; TEXT(((((ABS(59.8608333)-INT(ABS(59.8608333)))*60)- INT((ABS(59.8608333) - INT(ABS(59.8608333)))*60))*60), " 0''")</f>
        <v>59°c c51  39</v>
      </c>
      <c r="J288" t="str">
        <f ca="1">TEXT(TRUNC(10.7905556), "0" &amp; CHAR(176) &amp; " ") &amp; TEXT(INT((ABS(10.7905556)- INT(ABS(10.7905556)))*60), "0' ") &amp; TEXT(((((ABS(10.7905556)-INT(ABS(10.7905556)))*60)- INT((ABS(10.7905556) - INT(ABS(10.7905556)))*60))*60), " 0''")</f>
        <v>10°c c47  26</v>
      </c>
    </row>
    <row r="289" spans="1:10">
      <c r="A289" t="s">
        <v>10</v>
      </c>
      <c r="B289" s="2">
        <v>1200</v>
      </c>
      <c r="C289" t="s">
        <v>24</v>
      </c>
      <c r="D289" t="s">
        <v>739</v>
      </c>
      <c r="E289" t="s">
        <v>740</v>
      </c>
      <c r="F289" t="s">
        <v>476</v>
      </c>
      <c r="G289" t="s">
        <v>15</v>
      </c>
      <c r="H289" s="3">
        <v>39822.786111111112</v>
      </c>
      <c r="I289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289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290" spans="1:10">
      <c r="A290" t="s">
        <v>10</v>
      </c>
      <c r="B290" s="2">
        <v>1200</v>
      </c>
      <c r="C290" t="s">
        <v>11</v>
      </c>
      <c r="D290" t="s">
        <v>741</v>
      </c>
      <c r="E290" t="s">
        <v>742</v>
      </c>
      <c r="F290" t="s">
        <v>57</v>
      </c>
      <c r="G290" t="s">
        <v>15</v>
      </c>
      <c r="H290" s="3">
        <v>39822.820138888892</v>
      </c>
      <c r="I290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290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291" spans="1:10">
      <c r="A291" t="s">
        <v>10</v>
      </c>
      <c r="B291" s="2">
        <v>1200</v>
      </c>
      <c r="C291" t="s">
        <v>24</v>
      </c>
      <c r="D291" t="s">
        <v>743</v>
      </c>
      <c r="E291" t="s">
        <v>744</v>
      </c>
      <c r="F291" t="s">
        <v>57</v>
      </c>
      <c r="G291" t="s">
        <v>15</v>
      </c>
      <c r="H291" s="3">
        <v>39822.833333333336</v>
      </c>
      <c r="I291" t="str">
        <f ca="1">TEXT(TRUNC(33.57056), "0" &amp; CHAR(176) &amp; " ") &amp; TEXT(INT((ABS(33.57056)- INT(ABS(33.57056)))*60), "0' ") &amp; TEXT(((((ABS(33.57056)-INT(ABS(33.57056)))*60)- INT((ABS(33.57056) - INT(ABS(33.57056)))*60))*60), " 0''")</f>
        <v>33°c c34  14</v>
      </c>
      <c r="J291" t="str">
        <f ca="1">TEXT(TRUNC(-117.63861), "0" &amp; CHAR(176) &amp; " ") &amp; TEXT(INT((ABS(-117.63861)- INT(ABS(-117.63861)))*60), "0' ") &amp; TEXT(((((ABS(-117.63861)-INT(ABS(-117.63861)))*60)- INT((ABS(-117.63861) - INT(ABS(-117.63861)))*60))*60), " 0''")</f>
        <v>-117°c c38  19</v>
      </c>
    </row>
    <row r="292" spans="1:10">
      <c r="A292" t="s">
        <v>10</v>
      </c>
      <c r="B292" s="2">
        <v>1200</v>
      </c>
      <c r="C292" t="s">
        <v>50</v>
      </c>
      <c r="D292" t="s">
        <v>745</v>
      </c>
      <c r="E292" t="s">
        <v>746</v>
      </c>
      <c r="F292" t="s">
        <v>252</v>
      </c>
      <c r="G292" t="s">
        <v>81</v>
      </c>
      <c r="H292" s="3">
        <v>39822.850694444445</v>
      </c>
      <c r="I292" t="str">
        <f ca="1">TEXT(TRUNC(49.9), "0" &amp; CHAR(176) &amp; " ") &amp; TEXT(INT((ABS(49.9)- INT(ABS(49.9)))*60), "0' ") &amp; TEXT(((((ABS(49.9)-INT(ABS(49.9)))*60)- INT((ABS(49.9) - INT(ABS(49.9)))*60))*60), " 0''")</f>
        <v>49°c c53  60</v>
      </c>
      <c r="J292" t="str">
        <f ca="1">TEXT(TRUNC(-119.4833333), "0" &amp; CHAR(176) &amp; " ") &amp; TEXT(INT((ABS(-119.4833333)- INT(ABS(-119.4833333)))*60), "0' ") &amp; TEXT(((((ABS(-119.4833333)-INT(ABS(-119.4833333)))*60)- INT((ABS(-119.4833333) - INT(ABS(-119.4833333)))*60))*60), " 0''")</f>
        <v>-119°c c28  60</v>
      </c>
    </row>
    <row r="293" spans="1:10">
      <c r="A293" t="s">
        <v>10</v>
      </c>
      <c r="B293" s="2">
        <v>1200</v>
      </c>
      <c r="C293" t="s">
        <v>11</v>
      </c>
      <c r="D293" t="s">
        <v>747</v>
      </c>
      <c r="E293" t="s">
        <v>415</v>
      </c>
      <c r="F293" t="s">
        <v>391</v>
      </c>
      <c r="G293" t="s">
        <v>15</v>
      </c>
      <c r="H293" s="3">
        <v>39823.00277777778</v>
      </c>
      <c r="I293" t="str">
        <f ca="1">TEXT(TRUNC(21.42556), "0" &amp; CHAR(176) &amp; " ") &amp; TEXT(INT((ABS(21.42556)- INT(ABS(21.42556)))*60), "0' ") &amp; TEXT(((((ABS(21.42556)-INT(ABS(21.42556)))*60)- INT((ABS(21.42556) - INT(ABS(21.42556)))*60))*60), " 0''")</f>
        <v>21°c c25  32</v>
      </c>
      <c r="J293" t="str">
        <f ca="1">TEXT(TRUNC(-157.96083), "0" &amp; CHAR(176) &amp; " ") &amp; TEXT(INT((ABS(-157.96083)- INT(ABS(-157.96083)))*60), "0' ") &amp; TEXT(((((ABS(-157.96083)-INT(ABS(-157.96083)))*60)- INT((ABS(-157.96083) - INT(ABS(-157.96083)))*60))*60), " 0''")</f>
        <v>-157°c c57  39</v>
      </c>
    </row>
    <row r="294" spans="1:10">
      <c r="A294" t="s">
        <v>10</v>
      </c>
      <c r="B294" s="2">
        <v>1200</v>
      </c>
      <c r="C294" t="s">
        <v>24</v>
      </c>
      <c r="D294" t="s">
        <v>748</v>
      </c>
      <c r="E294" t="s">
        <v>749</v>
      </c>
      <c r="F294" t="s">
        <v>750</v>
      </c>
      <c r="G294" t="s">
        <v>85</v>
      </c>
      <c r="H294" s="3">
        <v>39823.144444444442</v>
      </c>
      <c r="I294" t="str">
        <f ca="1">TEXT(TRUNC(59.4136111), "0" &amp; CHAR(176) &amp; " ") &amp; TEXT(INT((ABS(59.4136111)- INT(ABS(59.4136111)))*60), "0' ") &amp; TEXT(((((ABS(59.4136111)-INT(ABS(59.4136111)))*60)- INT((ABS(59.4136111) - INT(ABS(59.4136111)))*60))*60), " 0''")</f>
        <v>59°c c24  49</v>
      </c>
      <c r="J294" t="str">
        <f ca="1">TEXT(TRUNC(10.4669444), "0" &amp; CHAR(176) &amp; " ") &amp; TEXT(INT((ABS(10.4669444)- INT(ABS(10.4669444)))*60), "0' ") &amp; TEXT(((((ABS(10.4669444)-INT(ABS(10.4669444)))*60)- INT((ABS(10.4669444) - INT(ABS(10.4669444)))*60))*60), " 0''")</f>
        <v>10°c c28  1</v>
      </c>
    </row>
    <row r="295" spans="1:10">
      <c r="A295" t="s">
        <v>10</v>
      </c>
      <c r="B295" s="2">
        <v>1200</v>
      </c>
      <c r="C295" t="s">
        <v>24</v>
      </c>
      <c r="D295" t="s">
        <v>751</v>
      </c>
      <c r="E295" t="s">
        <v>590</v>
      </c>
      <c r="F295" t="s">
        <v>591</v>
      </c>
      <c r="G295" t="s">
        <v>23</v>
      </c>
      <c r="H295" s="3">
        <v>39823.154861111114</v>
      </c>
      <c r="I295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29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296" spans="1:10">
      <c r="A296" t="s">
        <v>10</v>
      </c>
      <c r="B296" s="2">
        <v>1200</v>
      </c>
      <c r="C296" t="s">
        <v>24</v>
      </c>
      <c r="D296" t="s">
        <v>752</v>
      </c>
      <c r="E296" t="s">
        <v>753</v>
      </c>
      <c r="F296" t="s">
        <v>664</v>
      </c>
      <c r="G296" t="s">
        <v>23</v>
      </c>
      <c r="H296" s="3">
        <v>39823.169444444444</v>
      </c>
      <c r="I296" t="str">
        <f ca="1">TEXT(TRUNC(53.1666667), "0" &amp; CHAR(176) &amp; " ") &amp; TEXT(INT((ABS(53.1666667)- INT(ABS(53.1666667)))*60), "0' ") &amp; TEXT(((((ABS(53.1666667)-INT(ABS(53.1666667)))*60)- INT((ABS(53.1666667) - INT(ABS(53.1666667)))*60))*60), " 0''")</f>
        <v>53°c c10  0</v>
      </c>
      <c r="J296" t="str">
        <f ca="1">TEXT(TRUNC(8.2), "0" &amp; CHAR(176) &amp; " ") &amp; TEXT(INT((ABS(8.2)- INT(ABS(8.2)))*60), "0' ") &amp; TEXT(((((ABS(8.2)-INT(ABS(8.2)))*60)- INT((ABS(8.2) - INT(ABS(8.2)))*60))*60), " 0''")</f>
        <v>8°c c11  60</v>
      </c>
    </row>
    <row r="297" spans="1:10">
      <c r="A297" t="s">
        <v>10</v>
      </c>
      <c r="B297" s="2">
        <v>1200</v>
      </c>
      <c r="C297" t="s">
        <v>24</v>
      </c>
      <c r="D297" t="s">
        <v>754</v>
      </c>
      <c r="E297" t="s">
        <v>755</v>
      </c>
      <c r="F297" t="s">
        <v>513</v>
      </c>
      <c r="G297" t="s">
        <v>65</v>
      </c>
      <c r="H297" s="3">
        <v>39823.175</v>
      </c>
      <c r="I297" t="str">
        <f ca="1">TEXT(TRUNC(53.2666667), "0" &amp; CHAR(176) &amp; " ") &amp; TEXT(INT((ABS(53.2666667)- INT(ABS(53.2666667)))*60), "0' ") &amp; TEXT(((((ABS(53.2666667)-INT(ABS(53.2666667)))*60)- INT((ABS(53.2666667) - INT(ABS(53.2666667)))*60))*60), " 0''")</f>
        <v>53°c c16  0</v>
      </c>
      <c r="J297" t="str">
        <f ca="1">TEXT(TRUNC(-6.1741667), "0" &amp; CHAR(176) &amp; " ") &amp; TEXT(INT((ABS(-6.1741667)- INT(ABS(-6.1741667)))*60), "0' ") &amp; TEXT(((((ABS(-6.1741667)-INT(ABS(-6.1741667)))*60)- INT((ABS(-6.1741667) - INT(ABS(-6.1741667)))*60))*60), " 0''")</f>
        <v>-6°c c10  27</v>
      </c>
    </row>
    <row r="298" spans="1:10">
      <c r="A298" t="s">
        <v>10</v>
      </c>
      <c r="B298" s="2">
        <v>1200</v>
      </c>
      <c r="C298" t="s">
        <v>33</v>
      </c>
      <c r="D298" t="s">
        <v>756</v>
      </c>
      <c r="E298" t="s">
        <v>757</v>
      </c>
      <c r="F298" t="s">
        <v>57</v>
      </c>
      <c r="G298" t="s">
        <v>15</v>
      </c>
      <c r="H298" s="3">
        <v>39823.222916666666</v>
      </c>
      <c r="I298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298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299" spans="1:10">
      <c r="A299" t="s">
        <v>10</v>
      </c>
      <c r="B299" s="2">
        <v>1200</v>
      </c>
      <c r="C299" t="s">
        <v>24</v>
      </c>
      <c r="D299" t="s">
        <v>758</v>
      </c>
      <c r="E299" t="s">
        <v>759</v>
      </c>
      <c r="F299" t="s">
        <v>513</v>
      </c>
      <c r="G299" t="s">
        <v>65</v>
      </c>
      <c r="H299" s="3">
        <v>39823.317361111112</v>
      </c>
      <c r="I299" t="str">
        <f ca="1">TEXT(TRUNC(53.2261111), "0" &amp; CHAR(176) &amp; " ") &amp; TEXT(INT((ABS(53.2261111)- INT(ABS(53.2261111)))*60), "0' ") &amp; TEXT(((((ABS(53.2261111)-INT(ABS(53.2261111)))*60)- INT((ABS(53.2261111) - INT(ABS(53.2261111)))*60))*60), " 0''")</f>
        <v>53°c c13  34</v>
      </c>
      <c r="J299" t="str">
        <f ca="1">TEXT(TRUNC(-6.1244444), "0" &amp; CHAR(176) &amp; " ") &amp; TEXT(INT((ABS(-6.1244444)- INT(ABS(-6.1244444)))*60), "0' ") &amp; TEXT(((((ABS(-6.1244444)-INT(ABS(-6.1244444)))*60)- INT((ABS(-6.1244444) - INT(ABS(-6.1244444)))*60))*60), " 0''")</f>
        <v>-6°c c7  28</v>
      </c>
    </row>
    <row r="300" spans="1:10">
      <c r="A300" t="s">
        <v>10</v>
      </c>
      <c r="B300" s="2">
        <v>1200</v>
      </c>
      <c r="C300" t="s">
        <v>24</v>
      </c>
      <c r="D300" t="s">
        <v>760</v>
      </c>
      <c r="E300" t="s">
        <v>761</v>
      </c>
      <c r="F300" t="s">
        <v>762</v>
      </c>
      <c r="G300" t="s">
        <v>763</v>
      </c>
      <c r="H300" s="3">
        <v>39823.329861111109</v>
      </c>
      <c r="I300" t="str">
        <f ca="1">TEXT(TRUNC(25.2097222), "0" &amp; CHAR(176) &amp; " ") &amp; TEXT(INT((ABS(25.2097222)- INT(ABS(25.2097222)))*60), "0' ") &amp; TEXT(((((ABS(25.2097222)-INT(ABS(25.2097222)))*60)- INT((ABS(25.2097222) - INT(ABS(25.2097222)))*60))*60), " 0''")</f>
        <v>25°c c12  35</v>
      </c>
      <c r="J300" t="str">
        <f ca="1">TEXT(TRUNC(55.2477778), "0" &amp; CHAR(176) &amp; " ") &amp; TEXT(INT((ABS(55.2477778)- INT(ABS(55.2477778)))*60), "0' ") &amp; TEXT(((((ABS(55.2477778)-INT(ABS(55.2477778)))*60)- INT((ABS(55.2477778) - INT(ABS(55.2477778)))*60))*60), " 0''")</f>
        <v>55°c c14  52</v>
      </c>
    </row>
    <row r="301" spans="1:10">
      <c r="A301" t="s">
        <v>10</v>
      </c>
      <c r="B301" s="2">
        <v>1200</v>
      </c>
      <c r="C301" t="s">
        <v>24</v>
      </c>
      <c r="D301" t="s">
        <v>764</v>
      </c>
      <c r="E301" t="s">
        <v>765</v>
      </c>
      <c r="F301" t="s">
        <v>98</v>
      </c>
      <c r="G301" t="s">
        <v>15</v>
      </c>
      <c r="H301" s="3">
        <v>39823.342361111114</v>
      </c>
      <c r="I301" t="str">
        <f ca="1">TEXT(TRUNC(41.67361), "0" &amp; CHAR(176) &amp; " ") &amp; TEXT(INT((ABS(41.67361)- INT(ABS(41.67361)))*60), "0' ") &amp; TEXT(((((ABS(41.67361)-INT(ABS(41.67361)))*60)- INT((ABS(41.67361) - INT(ABS(41.67361)))*60))*60), " 0''")</f>
        <v>41°c c40  25</v>
      </c>
      <c r="J301" t="str">
        <f ca="1">TEXT(TRUNC(-88.00167), "0" &amp; CHAR(176) &amp; " ") &amp; TEXT(INT((ABS(-88.00167)- INT(ABS(-88.00167)))*60), "0' ") &amp; TEXT(((((ABS(-88.00167)-INT(ABS(-88.00167)))*60)- INT((ABS(-88.00167) - INT(ABS(-88.00167)))*60))*60), " 0''")</f>
        <v>-88°c c0  6</v>
      </c>
    </row>
    <row r="302" spans="1:10">
      <c r="A302" t="s">
        <v>10</v>
      </c>
      <c r="B302" s="2">
        <v>1200</v>
      </c>
      <c r="C302" t="s">
        <v>11</v>
      </c>
      <c r="D302" t="s">
        <v>766</v>
      </c>
      <c r="E302" t="s">
        <v>467</v>
      </c>
      <c r="F302" t="s">
        <v>130</v>
      </c>
      <c r="G302" t="s">
        <v>54</v>
      </c>
      <c r="H302" s="3">
        <v>39823.342361111114</v>
      </c>
      <c r="I302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302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303" spans="1:10">
      <c r="A303" t="s">
        <v>10</v>
      </c>
      <c r="B303" s="2">
        <v>1200</v>
      </c>
      <c r="C303" t="s">
        <v>50</v>
      </c>
      <c r="D303" t="s">
        <v>769</v>
      </c>
      <c r="E303" t="s">
        <v>770</v>
      </c>
      <c r="F303" t="s">
        <v>71</v>
      </c>
      <c r="G303" t="s">
        <v>771</v>
      </c>
      <c r="H303" s="3">
        <v>39823.3875</v>
      </c>
      <c r="I303" t="str">
        <f ca="1">TEXT(TRUNC(49.2), "0" &amp; CHAR(176) &amp; " ") &amp; TEXT(INT((ABS(49.2)- INT(ABS(49.2)))*60), "0' ") &amp; TEXT(((((ABS(49.2)-INT(ABS(49.2)))*60)- INT((ABS(49.2) - INT(ABS(49.2)))*60))*60), " 0''")</f>
        <v>49°c c12  0</v>
      </c>
      <c r="J303" t="str">
        <f ca="1">TEXT(TRUNC(-2.0333333), "0" &amp; CHAR(176) &amp; " ") &amp; TEXT(INT((ABS(-2.0333333)- INT(ABS(-2.0333333)))*60), "0' ") &amp; TEXT(((((ABS(-2.0333333)-INT(ABS(-2.0333333)))*60)- INT((ABS(-2.0333333) - INT(ABS(-2.0333333)))*60))*60), " 0''")</f>
        <v>-2°c c1  60</v>
      </c>
    </row>
    <row r="304" spans="1:10">
      <c r="A304" t="s">
        <v>10</v>
      </c>
      <c r="B304" s="2">
        <v>1200</v>
      </c>
      <c r="C304" t="s">
        <v>33</v>
      </c>
      <c r="D304" t="s">
        <v>775</v>
      </c>
      <c r="E304" t="s">
        <v>776</v>
      </c>
      <c r="F304" t="s">
        <v>179</v>
      </c>
      <c r="G304" t="s">
        <v>15</v>
      </c>
      <c r="H304" s="3">
        <v>39823.484027777777</v>
      </c>
      <c r="I304" t="str">
        <f ca="1">TEXT(TRUNC(40.33667), "0" &amp; CHAR(176) &amp; " ") &amp; TEXT(INT((ABS(40.33667)- INT(ABS(40.33667)))*60), "0' ") &amp; TEXT(((((ABS(40.33667)-INT(ABS(40.33667)))*60)- INT((ABS(40.33667) - INT(ABS(40.33667)))*60))*60), " 0''")</f>
        <v>40°c c20  12</v>
      </c>
      <c r="J304" t="str">
        <f ca="1">TEXT(TRUNC(-74.0475), "0" &amp; CHAR(176) &amp; " ") &amp; TEXT(INT((ABS(-74.0475)- INT(ABS(-74.0475)))*60), "0' ") &amp; TEXT(((((ABS(-74.0475)-INT(ABS(-74.0475)))*60)- INT((ABS(-74.0475) - INT(ABS(-74.0475)))*60))*60), " 0''")</f>
        <v>-74°c c2  51</v>
      </c>
    </row>
    <row r="305" spans="1:10">
      <c r="A305" t="s">
        <v>10</v>
      </c>
      <c r="B305" s="2">
        <v>1200</v>
      </c>
      <c r="C305" t="s">
        <v>24</v>
      </c>
      <c r="D305" t="s">
        <v>777</v>
      </c>
      <c r="E305" t="s">
        <v>778</v>
      </c>
      <c r="F305" t="s">
        <v>591</v>
      </c>
      <c r="G305" t="s">
        <v>23</v>
      </c>
      <c r="H305" s="3">
        <v>39823.495138888888</v>
      </c>
      <c r="I305" t="str">
        <f ca="1">TEXT(TRUNC(48.9), "0" &amp; CHAR(176) &amp; " ") &amp; TEXT(INT((ABS(48.9)- INT(ABS(48.9)))*60), "0' ") &amp; TEXT(((((ABS(48.9)-INT(ABS(48.9)))*60)- INT((ABS(48.9) - INT(ABS(48.9)))*60))*60), " 0''")</f>
        <v>48°c c53  60</v>
      </c>
      <c r="J30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306" spans="1:10">
      <c r="A306" t="s">
        <v>10</v>
      </c>
      <c r="B306" s="2">
        <v>1200</v>
      </c>
      <c r="C306" t="s">
        <v>24</v>
      </c>
      <c r="D306" t="s">
        <v>779</v>
      </c>
      <c r="E306" t="s">
        <v>780</v>
      </c>
      <c r="F306" t="s">
        <v>45</v>
      </c>
      <c r="G306" t="s">
        <v>15</v>
      </c>
      <c r="H306" s="3">
        <v>39823.503472222219</v>
      </c>
      <c r="I306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306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307" spans="1:10">
      <c r="A307" t="s">
        <v>10</v>
      </c>
      <c r="B307" s="2">
        <v>1200</v>
      </c>
      <c r="C307" t="s">
        <v>33</v>
      </c>
      <c r="D307" t="s">
        <v>255</v>
      </c>
      <c r="E307" t="s">
        <v>781</v>
      </c>
      <c r="F307" t="s">
        <v>476</v>
      </c>
      <c r="G307" t="s">
        <v>15</v>
      </c>
      <c r="H307" s="3">
        <v>39823.539583333331</v>
      </c>
      <c r="I307" t="str">
        <f ca="1">TEXT(TRUNC(33.92417), "0" &amp; CHAR(176) &amp; " ") &amp; TEXT(INT((ABS(33.92417)- INT(ABS(33.92417)))*60), "0' ") &amp; TEXT(((((ABS(33.92417)-INT(ABS(33.92417)))*60)- INT((ABS(33.92417) - INT(ABS(33.92417)))*60))*60), " 0''")</f>
        <v>33°c c55  27</v>
      </c>
      <c r="J307" t="str">
        <f ca="1">TEXT(TRUNC(-84.37861), "0" &amp; CHAR(176) &amp; " ") &amp; TEXT(INT((ABS(-84.37861)- INT(ABS(-84.37861)))*60), "0' ") &amp; TEXT(((((ABS(-84.37861)-INT(ABS(-84.37861)))*60)- INT((ABS(-84.37861) - INT(ABS(-84.37861)))*60))*60), " 0''")</f>
        <v>-84°c c22  43</v>
      </c>
    </row>
    <row r="308" spans="1:10">
      <c r="A308" t="s">
        <v>10</v>
      </c>
      <c r="B308" s="2">
        <v>1200</v>
      </c>
      <c r="C308" t="s">
        <v>24</v>
      </c>
      <c r="D308" t="s">
        <v>782</v>
      </c>
      <c r="E308" t="s">
        <v>783</v>
      </c>
      <c r="F308" t="s">
        <v>95</v>
      </c>
      <c r="G308" t="s">
        <v>81</v>
      </c>
      <c r="H308" s="3">
        <v>39823.570833333331</v>
      </c>
      <c r="I308" t="str">
        <f ca="1">TEXT(TRUNC(43.25), "0" &amp; CHAR(176) &amp; " ") &amp; TEXT(INT((ABS(43.25)- INT(ABS(43.25)))*60), "0' ") &amp; TEXT(((((ABS(43.25)-INT(ABS(43.25)))*60)- INT((ABS(43.25) - INT(ABS(43.25)))*60))*60), " 0''")</f>
        <v>43°c c15  0</v>
      </c>
      <c r="J308" t="str">
        <f ca="1">TEXT(TRUNC(-79.8333333), "0" &amp; CHAR(176) &amp; " ") &amp; TEXT(INT((ABS(-79.8333333)- INT(ABS(-79.8333333)))*60), "0' ") &amp; TEXT(((((ABS(-79.8333333)-INT(ABS(-79.8333333)))*60)- INT((ABS(-79.8333333) - INT(ABS(-79.8333333)))*60))*60), " 0''")</f>
        <v>-79°c c49  60</v>
      </c>
    </row>
    <row r="309" spans="1:10">
      <c r="A309" t="s">
        <v>10</v>
      </c>
      <c r="B309" s="2">
        <v>1200</v>
      </c>
      <c r="C309" t="s">
        <v>11</v>
      </c>
      <c r="D309" t="s">
        <v>784</v>
      </c>
      <c r="E309" t="s">
        <v>785</v>
      </c>
      <c r="F309" t="s">
        <v>53</v>
      </c>
      <c r="G309" t="s">
        <v>54</v>
      </c>
      <c r="H309" s="3">
        <v>39823.585416666669</v>
      </c>
      <c r="I309" t="str">
        <f ca="1">TEXT(TRUNC(51.9), "0" &amp; CHAR(176) &amp; " ") &amp; TEXT(INT((ABS(51.9)- INT(ABS(51.9)))*60), "0' ") &amp; TEXT(((((ABS(51.9)-INT(ABS(51.9)))*60)- INT((ABS(51.9) - INT(ABS(51.9)))*60))*60), " 0''")</f>
        <v>51°c c53  60</v>
      </c>
      <c r="J309" t="str">
        <f ca="1">TEXT(TRUNC(-2.0833333), "0" &amp; CHAR(176) &amp; " ") &amp; TEXT(INT((ABS(-2.0833333)- INT(ABS(-2.0833333)))*60), "0' ") &amp; TEXT(((((ABS(-2.0833333)-INT(ABS(-2.0833333)))*60)- INT((ABS(-2.0833333) - INT(ABS(-2.0833333)))*60))*60), " 0''")</f>
        <v>-2°c c4  60</v>
      </c>
    </row>
    <row r="310" spans="1:10">
      <c r="A310" t="s">
        <v>10</v>
      </c>
      <c r="B310" s="2">
        <v>1200</v>
      </c>
      <c r="C310" t="s">
        <v>50</v>
      </c>
      <c r="D310" t="s">
        <v>786</v>
      </c>
      <c r="E310" t="s">
        <v>787</v>
      </c>
      <c r="F310" t="s">
        <v>513</v>
      </c>
      <c r="G310" t="s">
        <v>65</v>
      </c>
      <c r="H310" s="3">
        <v>39823.613194444442</v>
      </c>
      <c r="I310" t="str">
        <f ca="1">TEXT(TRUNC(53.4247222), "0" &amp; CHAR(176) &amp; " ") &amp; TEXT(INT((ABS(53.4247222)- INT(ABS(53.4247222)))*60), "0' ") &amp; TEXT(((((ABS(53.4247222)-INT(ABS(53.4247222)))*60)- INT((ABS(53.4247222) - INT(ABS(53.4247222)))*60))*60), " 0''")</f>
        <v>53°c c25  29</v>
      </c>
      <c r="J310" t="str">
        <f ca="1">TEXT(TRUNC(-6.1758333), "0" &amp; CHAR(176) &amp; " ") &amp; TEXT(INT((ABS(-6.1758333)- INT(ABS(-6.1758333)))*60), "0' ") &amp; TEXT(((((ABS(-6.1758333)-INT(ABS(-6.1758333)))*60)- INT((ABS(-6.1758333) - INT(ABS(-6.1758333)))*60))*60), " 0''")</f>
        <v>-6°c c10  33</v>
      </c>
    </row>
    <row r="311" spans="1:10">
      <c r="A311" t="s">
        <v>10</v>
      </c>
      <c r="B311" s="2">
        <v>1200</v>
      </c>
      <c r="C311" t="s">
        <v>24</v>
      </c>
      <c r="D311" t="s">
        <v>788</v>
      </c>
      <c r="E311" t="s">
        <v>789</v>
      </c>
      <c r="F311" t="s">
        <v>790</v>
      </c>
      <c r="G311" t="s">
        <v>15</v>
      </c>
      <c r="H311" s="3">
        <v>39823.62222222222</v>
      </c>
      <c r="I311" t="str">
        <f ca="1">TEXT(TRUNC(41.72972), "0" &amp; CHAR(176) &amp; " ") &amp; TEXT(INT((ABS(41.72972)- INT(ABS(41.72972)))*60), "0' ") &amp; TEXT(((((ABS(41.72972)-INT(ABS(41.72972)))*60)- INT((ABS(41.72972) - INT(ABS(41.72972)))*60))*60), " 0''")</f>
        <v>41°c c43  47</v>
      </c>
      <c r="J311" t="str">
        <f ca="1">TEXT(TRUNC(-93.60556), "0" &amp; CHAR(176) &amp; " ") &amp; TEXT(INT((ABS(-93.60556)- INT(ABS(-93.60556)))*60), "0' ") &amp; TEXT(((((ABS(-93.60556)-INT(ABS(-93.60556)))*60)- INT((ABS(-93.60556) - INT(ABS(-93.60556)))*60))*60), " 0''")</f>
        <v>-93°c c36  20</v>
      </c>
    </row>
    <row r="312" spans="1:10">
      <c r="A312" t="s">
        <v>10</v>
      </c>
      <c r="B312" s="2">
        <v>1200</v>
      </c>
      <c r="C312" t="s">
        <v>33</v>
      </c>
      <c r="D312" t="s">
        <v>791</v>
      </c>
      <c r="E312" t="s">
        <v>792</v>
      </c>
      <c r="F312" t="s">
        <v>57</v>
      </c>
      <c r="G312" t="s">
        <v>15</v>
      </c>
      <c r="H312" s="3">
        <v>39823.624305555553</v>
      </c>
      <c r="I312" t="str">
        <f ca="1">TEXT(TRUNC(34.005), "0" &amp; CHAR(176) &amp; " ") &amp; TEXT(INT((ABS(34.005)- INT(ABS(34.005)))*60), "0' ") &amp; TEXT(((((ABS(34.005)-INT(ABS(34.005)))*60)- INT((ABS(34.005) - INT(ABS(34.005)))*60))*60), " 0''")</f>
        <v>34°c c0  18</v>
      </c>
      <c r="J312" t="str">
        <f ca="1">TEXT(TRUNC(-118.80917), "0" &amp; CHAR(176) &amp; " ") &amp; TEXT(INT((ABS(-118.80917)- INT(ABS(-118.80917)))*60), "0' ") &amp; TEXT(((((ABS(-118.80917)-INT(ABS(-118.80917)))*60)- INT((ABS(-118.80917) - INT(ABS(-118.80917)))*60))*60), " 0''")</f>
        <v>-118°c c48  33</v>
      </c>
    </row>
    <row r="313" spans="1:10">
      <c r="A313" t="s">
        <v>10</v>
      </c>
      <c r="B313" s="2">
        <v>1200</v>
      </c>
      <c r="C313" t="s">
        <v>24</v>
      </c>
      <c r="D313" t="s">
        <v>795</v>
      </c>
      <c r="E313" t="s">
        <v>490</v>
      </c>
      <c r="F313" t="s">
        <v>57</v>
      </c>
      <c r="G313" t="s">
        <v>15</v>
      </c>
      <c r="H313" s="3">
        <v>39823.668055555558</v>
      </c>
      <c r="I313" t="str">
        <f ca="1">TEXT(TRUNC(32.71528), "0" &amp; CHAR(176) &amp; " ") &amp; TEXT(INT((ABS(32.71528)- INT(ABS(32.71528)))*60), "0' ") &amp; TEXT(((((ABS(32.71528)-INT(ABS(32.71528)))*60)- INT((ABS(32.71528) - INT(ABS(32.71528)))*60))*60), " 0''")</f>
        <v>32°c c42  55</v>
      </c>
      <c r="J313" t="str">
        <f ca="1">TEXT(TRUNC(-117.15639), "0" &amp; CHAR(176) &amp; " ") &amp; TEXT(INT((ABS(-117.15639)- INT(ABS(-117.15639)))*60), "0' ") &amp; TEXT(((((ABS(-117.15639)-INT(ABS(-117.15639)))*60)- INT((ABS(-117.15639) - INT(ABS(-117.15639)))*60))*60), " 0''")</f>
        <v>-117°c c9  23</v>
      </c>
    </row>
    <row r="314" spans="1:10">
      <c r="A314" t="s">
        <v>10</v>
      </c>
      <c r="B314" s="2">
        <v>1200</v>
      </c>
      <c r="C314" t="s">
        <v>24</v>
      </c>
      <c r="D314" t="s">
        <v>796</v>
      </c>
      <c r="E314" t="s">
        <v>797</v>
      </c>
      <c r="F314" t="s">
        <v>152</v>
      </c>
      <c r="G314" t="s">
        <v>15</v>
      </c>
      <c r="H314" s="3">
        <v>39823.736805555556</v>
      </c>
      <c r="I314" t="str">
        <f ca="1">TEXT(TRUNC(38.90111), "0" &amp; CHAR(176) &amp; " ") &amp; TEXT(INT((ABS(38.90111)- INT(ABS(38.90111)))*60), "0' ") &amp; TEXT(((((ABS(38.90111)-INT(ABS(38.90111)))*60)- INT((ABS(38.90111) - INT(ABS(38.90111)))*60))*60), " 0''")</f>
        <v>38°c c54  4</v>
      </c>
      <c r="J314" t="str">
        <f ca="1">TEXT(TRUNC(-77.26556), "0" &amp; CHAR(176) &amp; " ") &amp; TEXT(INT((ABS(-77.26556)- INT(ABS(-77.26556)))*60), "0' ") &amp; TEXT(((((ABS(-77.26556)-INT(ABS(-77.26556)))*60)- INT((ABS(-77.26556) - INT(ABS(-77.26556)))*60))*60), " 0''")</f>
        <v>-77°c c15  56</v>
      </c>
    </row>
    <row r="315" spans="1:10">
      <c r="A315" t="s">
        <v>10</v>
      </c>
      <c r="B315" s="2">
        <v>1200</v>
      </c>
      <c r="C315" t="s">
        <v>11</v>
      </c>
      <c r="D315" t="s">
        <v>798</v>
      </c>
      <c r="E315" t="s">
        <v>799</v>
      </c>
      <c r="F315" t="s">
        <v>95</v>
      </c>
      <c r="G315" t="s">
        <v>81</v>
      </c>
      <c r="H315" s="3">
        <v>39823.899305555555</v>
      </c>
      <c r="I315" t="str">
        <f ca="1">TEXT(TRUNC(43.85), "0" &amp; CHAR(176) &amp; " ") &amp; TEXT(INT((ABS(43.85)- INT(ABS(43.85)))*60), "0' ") &amp; TEXT(((((ABS(43.85)-INT(ABS(43.85)))*60)- INT((ABS(43.85) - INT(ABS(43.85)))*60))*60), " 0''")</f>
        <v>43°c c51  0</v>
      </c>
      <c r="J315" t="str">
        <f ca="1">TEXT(TRUNC(-79.0166667), "0" &amp; CHAR(176) &amp; " ") &amp; TEXT(INT((ABS(-79.0166667)- INT(ABS(-79.0166667)))*60), "0' ") &amp; TEXT(((((ABS(-79.0166667)-INT(ABS(-79.0166667)))*60)- INT((ABS(-79.0166667) - INT(ABS(-79.0166667)))*60))*60), " 0''")</f>
        <v>-79°c c1  0</v>
      </c>
    </row>
    <row r="316" spans="1:10">
      <c r="A316" t="s">
        <v>10</v>
      </c>
      <c r="B316" s="2">
        <v>1200</v>
      </c>
      <c r="C316" t="s">
        <v>24</v>
      </c>
      <c r="D316" t="s">
        <v>800</v>
      </c>
      <c r="E316" t="s">
        <v>517</v>
      </c>
      <c r="F316" t="s">
        <v>68</v>
      </c>
      <c r="G316" t="s">
        <v>15</v>
      </c>
      <c r="H316" s="3">
        <v>39823.9</v>
      </c>
      <c r="I316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16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17" spans="1:10">
      <c r="A317" t="s">
        <v>10</v>
      </c>
      <c r="B317" s="2">
        <v>1200</v>
      </c>
      <c r="C317" t="s">
        <v>24</v>
      </c>
      <c r="D317" t="s">
        <v>801</v>
      </c>
      <c r="E317" t="s">
        <v>802</v>
      </c>
      <c r="F317" t="s">
        <v>252</v>
      </c>
      <c r="G317" t="s">
        <v>81</v>
      </c>
      <c r="H317" s="3">
        <v>39823.901388888888</v>
      </c>
      <c r="I317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317" t="str">
        <f ca="1">TEXT(TRUNC(-122.5), "0" &amp; CHAR(176) &amp; " ") &amp; TEXT(INT((ABS(-122.5)- INT(ABS(-122.5)))*60), "0' ") &amp; TEXT(((((ABS(-122.5)-INT(ABS(-122.5)))*60)- INT((ABS(-122.5) - INT(ABS(-122.5)))*60))*60), " 0''")</f>
        <v>-122°c c30  0</v>
      </c>
    </row>
    <row r="318" spans="1:10">
      <c r="A318" t="s">
        <v>10</v>
      </c>
      <c r="B318" s="2">
        <v>1200</v>
      </c>
      <c r="C318" t="s">
        <v>11</v>
      </c>
      <c r="D318" t="s">
        <v>803</v>
      </c>
      <c r="E318" t="s">
        <v>269</v>
      </c>
      <c r="F318" t="s">
        <v>270</v>
      </c>
      <c r="G318" t="s">
        <v>31</v>
      </c>
      <c r="H318" s="3">
        <v>39824.010416666664</v>
      </c>
      <c r="I31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31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319" spans="1:10">
      <c r="A319" t="s">
        <v>10</v>
      </c>
      <c r="B319" s="2">
        <v>1200</v>
      </c>
      <c r="C319" t="s">
        <v>24</v>
      </c>
      <c r="D319" t="s">
        <v>117</v>
      </c>
      <c r="E319" t="s">
        <v>804</v>
      </c>
      <c r="F319" t="s">
        <v>113</v>
      </c>
      <c r="G319" t="s">
        <v>49</v>
      </c>
      <c r="H319" s="3">
        <v>39824.086111111108</v>
      </c>
      <c r="I319" t="str">
        <f ca="1">TEXT(TRUNC(-28), "0" &amp; CHAR(176) &amp; " ") &amp; TEXT(INT((ABS(-28)- INT(ABS(-28)))*60), "0' ") &amp; TEXT(((((ABS(-28)-INT(ABS(-28)))*60)- INT((ABS(-28) - INT(ABS(-28)))*60))*60), " 0''")</f>
        <v>-28°c c0  0</v>
      </c>
      <c r="J319" t="str">
        <f ca="1">TEXT(TRUNC(153.4333333), "0" &amp; CHAR(176) &amp; " ") &amp; TEXT(INT((ABS(153.4333333)- INT(ABS(153.4333333)))*60), "0' ") &amp; TEXT(((((ABS(153.4333333)-INT(ABS(153.4333333)))*60)- INT((ABS(153.4333333) - INT(ABS(153.4333333)))*60))*60), " 0''")</f>
        <v>153°c c25  60</v>
      </c>
    </row>
    <row r="320" spans="1:10">
      <c r="A320" t="s">
        <v>10</v>
      </c>
      <c r="B320" s="2">
        <v>1200</v>
      </c>
      <c r="C320" t="s">
        <v>24</v>
      </c>
      <c r="D320" t="s">
        <v>807</v>
      </c>
      <c r="E320" t="s">
        <v>808</v>
      </c>
      <c r="F320" t="s">
        <v>53</v>
      </c>
      <c r="G320" t="s">
        <v>54</v>
      </c>
      <c r="H320" s="3">
        <v>39824.19027777778</v>
      </c>
      <c r="I320" t="str">
        <f ca="1">TEXT(TRUNC(51.6), "0" &amp; CHAR(176) &amp; " ") &amp; TEXT(INT((ABS(51.6)- INT(ABS(51.6)))*60), "0' ") &amp; TEXT(((((ABS(51.6)-INT(ABS(51.6)))*60)- INT((ABS(51.6) - INT(ABS(51.6)))*60))*60), " 0''")</f>
        <v>51°c c36  0</v>
      </c>
      <c r="J320" t="str">
        <f ca="1">TEXT(TRUNC(-0.55), "0" &amp; CHAR(176) &amp; " ") &amp; TEXT(INT((ABS(-0.55)- INT(ABS(-0.55)))*60), "0' ") &amp; TEXT(((((ABS(-0.55)-INT(ABS(-0.55)))*60)- INT((ABS(-0.55) - INT(ABS(-0.55)))*60))*60), " 0''")</f>
        <v>0°c c33  0</v>
      </c>
    </row>
    <row r="321" spans="1:10">
      <c r="A321" t="s">
        <v>10</v>
      </c>
      <c r="B321" s="2">
        <v>1200</v>
      </c>
      <c r="C321" t="s">
        <v>24</v>
      </c>
      <c r="D321" t="s">
        <v>809</v>
      </c>
      <c r="E321" t="s">
        <v>806</v>
      </c>
      <c r="F321" t="s">
        <v>197</v>
      </c>
      <c r="G321" t="s">
        <v>15</v>
      </c>
      <c r="H321" s="3">
        <v>39824.19375</v>
      </c>
      <c r="I321" t="str">
        <f ca="1">TEXT(TRUNC(35.96056), "0" &amp; CHAR(176) &amp; " ") &amp; TEXT(INT((ABS(35.96056)- INT(ABS(35.96056)))*60), "0' ") &amp; TEXT(((((ABS(35.96056)-INT(ABS(35.96056)))*60)- INT((ABS(35.96056) - INT(ABS(35.96056)))*60))*60), " 0''")</f>
        <v>35°c c57  38</v>
      </c>
      <c r="J321" t="str">
        <f ca="1">TEXT(TRUNC(-83.92083), "0" &amp; CHAR(176) &amp; " ") &amp; TEXT(INT((ABS(-83.92083)- INT(ABS(-83.92083)))*60), "0' ") &amp; TEXT(((((ABS(-83.92083)-INT(ABS(-83.92083)))*60)- INT((ABS(-83.92083) - INT(ABS(-83.92083)))*60))*60), " 0''")</f>
        <v>-83°c c55  15</v>
      </c>
    </row>
    <row r="322" spans="1:10">
      <c r="A322" t="s">
        <v>10</v>
      </c>
      <c r="B322" s="2">
        <v>1200</v>
      </c>
      <c r="C322" t="s">
        <v>33</v>
      </c>
      <c r="D322" t="s">
        <v>633</v>
      </c>
      <c r="E322" t="s">
        <v>810</v>
      </c>
      <c r="F322" t="s">
        <v>476</v>
      </c>
      <c r="G322" t="s">
        <v>15</v>
      </c>
      <c r="H322" s="3">
        <v>39824.204861111109</v>
      </c>
      <c r="I322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322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323" spans="1:10">
      <c r="A323" t="s">
        <v>10</v>
      </c>
      <c r="B323" s="2">
        <v>1200</v>
      </c>
      <c r="C323" t="s">
        <v>11</v>
      </c>
      <c r="D323" t="s">
        <v>483</v>
      </c>
      <c r="E323" t="s">
        <v>362</v>
      </c>
      <c r="F323" t="s">
        <v>14</v>
      </c>
      <c r="G323" t="s">
        <v>15</v>
      </c>
      <c r="H323" s="3">
        <v>39824.250694444447</v>
      </c>
      <c r="I323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323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324" spans="1:10">
      <c r="A324" t="s">
        <v>10</v>
      </c>
      <c r="B324" s="2">
        <v>1200</v>
      </c>
      <c r="C324" t="s">
        <v>33</v>
      </c>
      <c r="D324" t="s">
        <v>811</v>
      </c>
      <c r="E324" t="s">
        <v>812</v>
      </c>
      <c r="F324" t="s">
        <v>45</v>
      </c>
      <c r="G324" t="s">
        <v>15</v>
      </c>
      <c r="H324" s="3">
        <v>39824.25625</v>
      </c>
      <c r="I324" t="str">
        <f ca="1">TEXT(TRUNC(27.77056), "0" &amp; CHAR(176) &amp; " ") &amp; TEXT(INT((ABS(27.77056)- INT(ABS(27.77056)))*60), "0' ") &amp; TEXT(((((ABS(27.77056)-INT(ABS(27.77056)))*60)- INT((ABS(27.77056) - INT(ABS(27.77056)))*60))*60), " 0''")</f>
        <v>27°c c46  14</v>
      </c>
      <c r="J324" t="str">
        <f ca="1">TEXT(TRUNC(-82.67944), "0" &amp; CHAR(176) &amp; " ") &amp; TEXT(INT((ABS(-82.67944)- INT(ABS(-82.67944)))*60), "0' ") &amp; TEXT(((((ABS(-82.67944)-INT(ABS(-82.67944)))*60)- INT((ABS(-82.67944) - INT(ABS(-82.67944)))*60))*60), " 0''")</f>
        <v>-82°c c40  46</v>
      </c>
    </row>
    <row r="325" spans="1:10">
      <c r="A325" t="s">
        <v>10</v>
      </c>
      <c r="B325" s="2">
        <v>1200</v>
      </c>
      <c r="C325" t="s">
        <v>24</v>
      </c>
      <c r="D325" t="s">
        <v>815</v>
      </c>
      <c r="E325" t="s">
        <v>816</v>
      </c>
      <c r="F325" t="s">
        <v>817</v>
      </c>
      <c r="G325" t="s">
        <v>818</v>
      </c>
      <c r="H325" s="3">
        <v>39824.285416666666</v>
      </c>
      <c r="I325" t="str">
        <f ca="1">TEXT(TRUNC(50.5166667), "0" &amp; CHAR(176) &amp; " ") &amp; TEXT(INT((ABS(50.5166667)- INT(ABS(50.5166667)))*60), "0' ") &amp; TEXT(((((ABS(50.5166667)-INT(ABS(50.5166667)))*60)- INT((ABS(50.5166667) - INT(ABS(50.5166667)))*60))*60), " 0''")</f>
        <v>50°c c31  0</v>
      </c>
      <c r="J325" t="str">
        <f ca="1">TEXT(TRUNC(30.25), "0" &amp; CHAR(176) &amp; " ") &amp; TEXT(INT((ABS(30.25)- INT(ABS(30.25)))*60), "0' ") &amp; TEXT(((((ABS(30.25)-INT(ABS(30.25)))*60)- INT((ABS(30.25) - INT(ABS(30.25)))*60))*60), " 0''")</f>
        <v>30°c c15  0</v>
      </c>
    </row>
    <row r="326" spans="1:10">
      <c r="A326" t="s">
        <v>10</v>
      </c>
      <c r="B326" s="2">
        <v>1200</v>
      </c>
      <c r="C326" t="s">
        <v>24</v>
      </c>
      <c r="D326" t="s">
        <v>819</v>
      </c>
      <c r="E326" t="s">
        <v>820</v>
      </c>
      <c r="F326" t="s">
        <v>821</v>
      </c>
      <c r="G326" t="s">
        <v>65</v>
      </c>
      <c r="H326" s="3">
        <v>39824.29791666667</v>
      </c>
      <c r="I326" t="str">
        <f ca="1">TEXT(TRUNC(52.1588889), "0" &amp; CHAR(176) &amp; " ") &amp; TEXT(INT((ABS(52.1588889)- INT(ABS(52.1588889)))*60), "0' ") &amp; TEXT(((((ABS(52.1588889)-INT(ABS(52.1588889)))*60)- INT((ABS(52.1588889) - INT(ABS(52.1588889)))*60))*60), " 0''")</f>
        <v>52°c c9  32</v>
      </c>
      <c r="J326" t="str">
        <f ca="1">TEXT(TRUNC(-7.1463889), "0" &amp; CHAR(176) &amp; " ") &amp; TEXT(INT((ABS(-7.1463889)- INT(ABS(-7.1463889)))*60), "0' ") &amp; TEXT(((((ABS(-7.1463889)-INT(ABS(-7.1463889)))*60)- INT((ABS(-7.1463889) - INT(ABS(-7.1463889)))*60))*60), " 0''")</f>
        <v>-7°c c8  47</v>
      </c>
    </row>
    <row r="327" spans="1:10">
      <c r="A327" t="s">
        <v>10</v>
      </c>
      <c r="B327" s="2">
        <v>1200</v>
      </c>
      <c r="C327" t="s">
        <v>33</v>
      </c>
      <c r="D327" t="s">
        <v>824</v>
      </c>
      <c r="E327" t="s">
        <v>825</v>
      </c>
      <c r="F327" t="s">
        <v>45</v>
      </c>
      <c r="G327" t="s">
        <v>15</v>
      </c>
      <c r="H327" s="3">
        <v>39824.361805555556</v>
      </c>
      <c r="I327" t="str">
        <f ca="1">TEXT(TRUNC(28.69861), "0" &amp; CHAR(176) &amp; " ") &amp; TEXT(INT((ABS(28.69861)- INT(ABS(28.69861)))*60), "0' ") &amp; TEXT(((((ABS(28.69861)-INT(ABS(28.69861)))*60)- INT((ABS(28.69861) - INT(ABS(28.69861)))*60))*60), " 0''")</f>
        <v>28°c c41  55</v>
      </c>
      <c r="J327" t="str">
        <f ca="1">TEXT(TRUNC(-81.30833), "0" &amp; CHAR(176) &amp; " ") &amp; TEXT(INT((ABS(-81.30833)- INT(ABS(-81.30833)))*60), "0' ") &amp; TEXT(((((ABS(-81.30833)-INT(ABS(-81.30833)))*60)- INT((ABS(-81.30833) - INT(ABS(-81.30833)))*60))*60), " 0''")</f>
        <v>-81°c c18  30</v>
      </c>
    </row>
    <row r="328" spans="1:10">
      <c r="A328" t="s">
        <v>10</v>
      </c>
      <c r="B328" s="2">
        <v>1200</v>
      </c>
      <c r="C328" t="s">
        <v>24</v>
      </c>
      <c r="D328" t="s">
        <v>826</v>
      </c>
      <c r="E328" t="s">
        <v>827</v>
      </c>
      <c r="F328" t="s">
        <v>152</v>
      </c>
      <c r="G328" t="s">
        <v>15</v>
      </c>
      <c r="H328" s="3">
        <v>39824.374305555553</v>
      </c>
      <c r="I328" t="str">
        <f ca="1">TEXT(TRUNC(39.04361), "0" &amp; CHAR(176) &amp; " ") &amp; TEXT(INT((ABS(39.04361)- INT(ABS(39.04361)))*60), "0' ") &amp; TEXT(((((ABS(39.04361)-INT(ABS(39.04361)))*60)- INT((ABS(39.04361) - INT(ABS(39.04361)))*60))*60), " 0''")</f>
        <v>39°c c2  37</v>
      </c>
      <c r="J328" t="str">
        <f ca="1">TEXT(TRUNC(-77.48778), "0" &amp; CHAR(176) &amp; " ") &amp; TEXT(INT((ABS(-77.48778)- INT(ABS(-77.48778)))*60), "0' ") &amp; TEXT(((((ABS(-77.48778)-INT(ABS(-77.48778)))*60)- INT((ABS(-77.48778) - INT(ABS(-77.48778)))*60))*60), " 0''")</f>
        <v>-77°c c29  16</v>
      </c>
    </row>
    <row r="329" spans="1:10">
      <c r="A329" t="s">
        <v>10</v>
      </c>
      <c r="B329" s="2">
        <v>1200</v>
      </c>
      <c r="C329" t="s">
        <v>24</v>
      </c>
      <c r="D329" t="s">
        <v>828</v>
      </c>
      <c r="E329" t="s">
        <v>829</v>
      </c>
      <c r="F329" t="s">
        <v>830</v>
      </c>
      <c r="G329" t="s">
        <v>23</v>
      </c>
      <c r="H329" s="3">
        <v>39824.409722222219</v>
      </c>
      <c r="I329" t="str">
        <f ca="1">TEXT(TRUNC(51.05), "0" &amp; CHAR(176) &amp; " ") &amp; TEXT(INT((ABS(51.05)- INT(ABS(51.05)))*60), "0' ") &amp; TEXT(((((ABS(51.05)-INT(ABS(51.05)))*60)- INT((ABS(51.05) - INT(ABS(51.05)))*60))*60), " 0''")</f>
        <v>51°c c2  60</v>
      </c>
      <c r="J329" t="str">
        <f ca="1">TEXT(TRUNC(11.65), "0" &amp; CHAR(176) &amp; " ") &amp; TEXT(INT((ABS(11.65)- INT(ABS(11.65)))*60), "0' ") &amp; TEXT(((((ABS(11.65)-INT(ABS(11.65)))*60)- INT((ABS(11.65) - INT(ABS(11.65)))*60))*60), " 0''")</f>
        <v>11°c c39  0</v>
      </c>
    </row>
    <row r="330" spans="1:10">
      <c r="A330" t="s">
        <v>10</v>
      </c>
      <c r="B330" s="2">
        <v>1200</v>
      </c>
      <c r="C330" t="s">
        <v>24</v>
      </c>
      <c r="D330" t="s">
        <v>831</v>
      </c>
      <c r="E330" t="s">
        <v>832</v>
      </c>
      <c r="F330" t="s">
        <v>95</v>
      </c>
      <c r="G330" t="s">
        <v>81</v>
      </c>
      <c r="H330" s="3">
        <v>39824.413194444445</v>
      </c>
      <c r="I330" t="str">
        <f ca="1">TEXT(TRUNC(44.3166667), "0" &amp; CHAR(176) &amp; " ") &amp; TEXT(INT((ABS(44.3166667)- INT(ABS(44.3166667)))*60), "0' ") &amp; TEXT(((((ABS(44.3166667)-INT(ABS(44.3166667)))*60)- INT((ABS(44.3166667) - INT(ABS(44.3166667)))*60))*60), " 0''")</f>
        <v>44°c c19  0</v>
      </c>
      <c r="J330" t="str">
        <f ca="1">TEXT(TRUNC(-80.1), "0" &amp; CHAR(176) &amp; " ") &amp; TEXT(INT((ABS(-80.1)- INT(ABS(-80.1)))*60), "0' ") &amp; TEXT(((((ABS(-80.1)-INT(ABS(-80.1)))*60)- INT((ABS(-80.1) - INT(ABS(-80.1)))*60))*60), " 0''")</f>
        <v>-80°c c5  60</v>
      </c>
    </row>
    <row r="331" spans="1:10">
      <c r="A331" t="s">
        <v>10</v>
      </c>
      <c r="B331" s="2">
        <v>1200</v>
      </c>
      <c r="C331" t="s">
        <v>11</v>
      </c>
      <c r="D331" t="s">
        <v>833</v>
      </c>
      <c r="E331" t="s">
        <v>834</v>
      </c>
      <c r="F331" t="s">
        <v>706</v>
      </c>
      <c r="G331" t="s">
        <v>54</v>
      </c>
      <c r="H331" s="3">
        <v>39824.443055555559</v>
      </c>
      <c r="I331" t="str">
        <f ca="1">TEXT(TRUNC(54.65), "0" &amp; CHAR(176) &amp; " ") &amp; TEXT(INT((ABS(54.65)- INT(ABS(54.65)))*60), "0' ") &amp; TEXT(((((ABS(54.65)-INT(ABS(54.65)))*60)- INT((ABS(54.65) - INT(ABS(54.65)))*60))*60), " 0''")</f>
        <v>54°c c38  60</v>
      </c>
      <c r="J331" t="str">
        <f ca="1">TEXT(TRUNC(-5.7333333), "0" &amp; CHAR(176) &amp; " ") &amp; TEXT(INT((ABS(-5.7333333)- INT(ABS(-5.7333333)))*60), "0' ") &amp; TEXT(((((ABS(-5.7333333)-INT(ABS(-5.7333333)))*60)- INT((ABS(-5.7333333) - INT(ABS(-5.7333333)))*60))*60), " 0''")</f>
        <v>-5°c c43  60</v>
      </c>
    </row>
    <row r="332" spans="1:10">
      <c r="A332" t="s">
        <v>10</v>
      </c>
      <c r="B332" s="2">
        <v>1200</v>
      </c>
      <c r="C332" t="s">
        <v>11</v>
      </c>
      <c r="D332" t="s">
        <v>639</v>
      </c>
      <c r="E332" t="s">
        <v>835</v>
      </c>
      <c r="F332" t="s">
        <v>349</v>
      </c>
      <c r="G332" t="s">
        <v>23</v>
      </c>
      <c r="H332" s="3">
        <v>39824.45208333333</v>
      </c>
      <c r="I332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332" t="str">
        <f ca="1">TEXT(TRUNC(8.45), "0" &amp; CHAR(176) &amp; " ") &amp; TEXT(INT((ABS(8.45)- INT(ABS(8.45)))*60), "0' ") &amp; TEXT(((((ABS(8.45)-INT(ABS(8.45)))*60)- INT((ABS(8.45) - INT(ABS(8.45)))*60))*60), " 0''")</f>
        <v>8°c c26  60</v>
      </c>
    </row>
    <row r="333" spans="1:10">
      <c r="A333" t="s">
        <v>10</v>
      </c>
      <c r="B333" s="2">
        <v>1200</v>
      </c>
      <c r="C333" t="s">
        <v>24</v>
      </c>
      <c r="D333" t="s">
        <v>836</v>
      </c>
      <c r="E333" t="s">
        <v>837</v>
      </c>
      <c r="F333" t="s">
        <v>405</v>
      </c>
      <c r="G333" t="s">
        <v>15</v>
      </c>
      <c r="H333" s="3">
        <v>39824.472222222219</v>
      </c>
      <c r="I333" t="str">
        <f ca="1">TEXT(TRUNC(45.10778), "0" &amp; CHAR(176) &amp; " ") &amp; TEXT(INT((ABS(45.10778)- INT(ABS(45.10778)))*60), "0' ") &amp; TEXT(((((ABS(45.10778)-INT(ABS(45.10778)))*60)- INT((ABS(45.10778) - INT(ABS(45.10778)))*60))*60), " 0''")</f>
        <v>45°c c6  28</v>
      </c>
      <c r="J333" t="str">
        <f ca="1">TEXT(TRUNC(-93.23778), "0" &amp; CHAR(176) &amp; " ") &amp; TEXT(INT((ABS(-93.23778)- INT(ABS(-93.23778)))*60), "0' ") &amp; TEXT(((((ABS(-93.23778)-INT(ABS(-93.23778)))*60)- INT((ABS(-93.23778) - INT(ABS(-93.23778)))*60))*60), " 0''")</f>
        <v>-93°c c14  16</v>
      </c>
    </row>
    <row r="334" spans="1:10">
      <c r="A334" t="s">
        <v>10</v>
      </c>
      <c r="B334" s="2">
        <v>1200</v>
      </c>
      <c r="C334" t="s">
        <v>24</v>
      </c>
      <c r="D334" t="s">
        <v>838</v>
      </c>
      <c r="E334" t="s">
        <v>83</v>
      </c>
      <c r="F334" t="s">
        <v>84</v>
      </c>
      <c r="G334" t="s">
        <v>85</v>
      </c>
      <c r="H334" s="3">
        <v>39824.48125</v>
      </c>
      <c r="I334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334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335" spans="1:10">
      <c r="A335" t="s">
        <v>10</v>
      </c>
      <c r="B335" s="2">
        <v>1200</v>
      </c>
      <c r="C335" t="s">
        <v>11</v>
      </c>
      <c r="D335" t="s">
        <v>839</v>
      </c>
      <c r="E335" t="s">
        <v>118</v>
      </c>
      <c r="F335" t="s">
        <v>53</v>
      </c>
      <c r="G335" t="s">
        <v>54</v>
      </c>
      <c r="H335" s="3">
        <v>39824.48333333333</v>
      </c>
      <c r="I335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335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336" spans="1:10">
      <c r="A336" t="s">
        <v>10</v>
      </c>
      <c r="B336" s="2">
        <v>1200</v>
      </c>
      <c r="C336" t="s">
        <v>24</v>
      </c>
      <c r="D336" t="s">
        <v>840</v>
      </c>
      <c r="E336" t="s">
        <v>548</v>
      </c>
      <c r="F336" t="s">
        <v>513</v>
      </c>
      <c r="G336" t="s">
        <v>65</v>
      </c>
      <c r="H336" s="3">
        <v>39824.508333333331</v>
      </c>
      <c r="I336" t="str">
        <f ca="1">TEXT(TRUNC(53.3591667), "0" &amp; CHAR(176) &amp; " ") &amp; TEXT(INT((ABS(53.3591667)- INT(ABS(53.3591667)))*60), "0' ") &amp; TEXT(((((ABS(53.3591667)-INT(ABS(53.3591667)))*60)- INT((ABS(53.3591667) - INT(ABS(53.3591667)))*60))*60), " 0''")</f>
        <v>53°c c21  33</v>
      </c>
      <c r="J336" t="str">
        <f ca="1">TEXT(TRUNC(-6.2161111), "0" &amp; CHAR(176) &amp; " ") &amp; TEXT(INT((ABS(-6.2161111)- INT(ABS(-6.2161111)))*60), "0' ") &amp; TEXT(((((ABS(-6.2161111)-INT(ABS(-6.2161111)))*60)- INT((ABS(-6.2161111) - INT(ABS(-6.2161111)))*60))*60), " 0''")</f>
        <v>-6°c c12  58</v>
      </c>
    </row>
    <row r="337" spans="1:10">
      <c r="A337" t="s">
        <v>10</v>
      </c>
      <c r="B337" s="2">
        <v>1200</v>
      </c>
      <c r="C337" t="s">
        <v>24</v>
      </c>
      <c r="D337" t="s">
        <v>841</v>
      </c>
      <c r="E337" t="s">
        <v>842</v>
      </c>
      <c r="F337" t="s">
        <v>405</v>
      </c>
      <c r="G337" t="s">
        <v>15</v>
      </c>
      <c r="H337" s="3">
        <v>39824.515277777777</v>
      </c>
      <c r="I337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337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338" spans="1:10">
      <c r="A338" t="s">
        <v>10</v>
      </c>
      <c r="B338" s="2">
        <v>1200</v>
      </c>
      <c r="C338" t="s">
        <v>24</v>
      </c>
      <c r="D338" t="s">
        <v>843</v>
      </c>
      <c r="E338" t="s">
        <v>622</v>
      </c>
      <c r="F338" t="s">
        <v>343</v>
      </c>
      <c r="G338" t="s">
        <v>15</v>
      </c>
      <c r="H338" s="3">
        <v>39824.547222222223</v>
      </c>
      <c r="I338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338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339" spans="1:10">
      <c r="A339" t="s">
        <v>10</v>
      </c>
      <c r="B339" s="2">
        <v>1200</v>
      </c>
      <c r="C339" t="s">
        <v>24</v>
      </c>
      <c r="D339" t="s">
        <v>585</v>
      </c>
      <c r="E339" t="s">
        <v>757</v>
      </c>
      <c r="F339" t="s">
        <v>57</v>
      </c>
      <c r="G339" t="s">
        <v>15</v>
      </c>
      <c r="H339" s="3">
        <v>39824.588194444441</v>
      </c>
      <c r="I339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339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340" spans="1:10">
      <c r="A340" t="s">
        <v>10</v>
      </c>
      <c r="B340" s="2">
        <v>1200</v>
      </c>
      <c r="C340" t="s">
        <v>24</v>
      </c>
      <c r="D340" t="s">
        <v>432</v>
      </c>
      <c r="E340" t="s">
        <v>506</v>
      </c>
      <c r="F340" t="s">
        <v>507</v>
      </c>
      <c r="G340" t="s">
        <v>480</v>
      </c>
      <c r="H340" s="3">
        <v>39824.595138888886</v>
      </c>
      <c r="I340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340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341" spans="1:10">
      <c r="A341" t="s">
        <v>10</v>
      </c>
      <c r="B341" s="2">
        <v>1200</v>
      </c>
      <c r="C341" t="s">
        <v>24</v>
      </c>
      <c r="D341" t="s">
        <v>46</v>
      </c>
      <c r="E341" t="s">
        <v>846</v>
      </c>
      <c r="F341" t="s">
        <v>847</v>
      </c>
      <c r="G341" t="s">
        <v>85</v>
      </c>
      <c r="H341" s="3">
        <v>39824.62222222222</v>
      </c>
      <c r="I341" t="str">
        <f ca="1">TEXT(TRUNC(61.55), "0" &amp; CHAR(176) &amp; " ") &amp; TEXT(INT((ABS(61.55)- INT(ABS(61.55)))*60), "0' ") &amp; TEXT(((((ABS(61.55)-INT(ABS(61.55)))*60)- INT((ABS(61.55) - INT(ABS(61.55)))*60))*60), " 0''")</f>
        <v>61°c c32  60</v>
      </c>
      <c r="J341" t="str">
        <f ca="1">TEXT(TRUNC(6.35), "0" &amp; CHAR(176) &amp; " ") &amp; TEXT(INT((ABS(6.35)- INT(ABS(6.35)))*60), "0' ") &amp; TEXT(((((ABS(6.35)-INT(ABS(6.35)))*60)- INT((ABS(6.35) - INT(ABS(6.35)))*60))*60), " 0''")</f>
        <v>6°c c21  0</v>
      </c>
    </row>
    <row r="342" spans="1:10">
      <c r="A342" t="s">
        <v>10</v>
      </c>
      <c r="B342" s="2">
        <v>1200</v>
      </c>
      <c r="C342" t="s">
        <v>24</v>
      </c>
      <c r="D342" t="s">
        <v>848</v>
      </c>
      <c r="E342" t="s">
        <v>849</v>
      </c>
      <c r="F342" t="s">
        <v>53</v>
      </c>
      <c r="G342" t="s">
        <v>54</v>
      </c>
      <c r="H342" s="3">
        <v>39824.665972222225</v>
      </c>
      <c r="I342" t="str">
        <f ca="1">TEXT(TRUNC(51.8666667), "0" &amp; CHAR(176) &amp; " ") &amp; TEXT(INT((ABS(51.8666667)- INT(ABS(51.8666667)))*60), "0' ") &amp; TEXT(((((ABS(51.8666667)-INT(ABS(51.8666667)))*60)- INT((ABS(51.8666667) - INT(ABS(51.8666667)))*60))*60), " 0''")</f>
        <v>51°c c52  0</v>
      </c>
      <c r="J342" t="str">
        <f ca="1">TEXT(TRUNC(0.1666667), "0" &amp; CHAR(176) &amp; " ") &amp; TEXT(INT((ABS(0.1666667)- INT(ABS(0.1666667)))*60), "0' ") &amp; TEXT(((((ABS(0.1666667)-INT(ABS(0.1666667)))*60)- INT((ABS(0.1666667) - INT(ABS(0.1666667)))*60))*60), " 0''")</f>
        <v>0°c c10  0</v>
      </c>
    </row>
    <row r="343" spans="1:10">
      <c r="A343" t="s">
        <v>10</v>
      </c>
      <c r="B343" s="2">
        <v>1200</v>
      </c>
      <c r="C343" t="s">
        <v>24</v>
      </c>
      <c r="D343" t="s">
        <v>850</v>
      </c>
      <c r="E343" t="s">
        <v>851</v>
      </c>
      <c r="F343" t="s">
        <v>57</v>
      </c>
      <c r="G343" t="s">
        <v>15</v>
      </c>
      <c r="H343" s="3">
        <v>39824.7125</v>
      </c>
      <c r="I343" t="str">
        <f ca="1">TEXT(TRUNC(38.58167), "0" &amp; CHAR(176) &amp; " ") &amp; TEXT(INT((ABS(38.58167)- INT(ABS(38.58167)))*60), "0' ") &amp; TEXT(((((ABS(38.58167)-INT(ABS(38.58167)))*60)- INT((ABS(38.58167) - INT(ABS(38.58167)))*60))*60), " 0''")</f>
        <v>38°c c34  54</v>
      </c>
      <c r="J343" t="str">
        <f ca="1">TEXT(TRUNC(-121.49333), "0" &amp; CHAR(176) &amp; " ") &amp; TEXT(INT((ABS(-121.49333)- INT(ABS(-121.49333)))*60), "0' ") &amp; TEXT(((((ABS(-121.49333)-INT(ABS(-121.49333)))*60)- INT((ABS(-121.49333) - INT(ABS(-121.49333)))*60))*60), " 0''")</f>
        <v>-121°c c29  36</v>
      </c>
    </row>
    <row r="344" spans="1:10">
      <c r="A344" t="s">
        <v>10</v>
      </c>
      <c r="B344" s="2">
        <v>1200</v>
      </c>
      <c r="C344" t="s">
        <v>24</v>
      </c>
      <c r="D344" t="s">
        <v>398</v>
      </c>
      <c r="E344" t="s">
        <v>852</v>
      </c>
      <c r="F344" t="s">
        <v>580</v>
      </c>
      <c r="G344" t="s">
        <v>15</v>
      </c>
      <c r="H344" s="3">
        <v>39824.727777777778</v>
      </c>
      <c r="I344" t="str">
        <f ca="1">TEXT(TRUNC(41.41389), "0" &amp; CHAR(176) &amp; " ") &amp; TEXT(INT((ABS(41.41389)- INT(ABS(41.41389)))*60), "0' ") &amp; TEXT(((((ABS(41.41389)-INT(ABS(41.41389)))*60)- INT((ABS(41.41389) - INT(ABS(41.41389)))*60))*60), " 0''")</f>
        <v>41°c c24  50</v>
      </c>
      <c r="J344" t="str">
        <f ca="1">TEXT(TRUNC(-73.30389), "0" &amp; CHAR(176) &amp; " ") &amp; TEXT(INT((ABS(-73.30389)- INT(ABS(-73.30389)))*60), "0' ") &amp; TEXT(((((ABS(-73.30389)-INT(ABS(-73.30389)))*60)- INT((ABS(-73.30389) - INT(ABS(-73.30389)))*60))*60), " 0''")</f>
        <v>-73°c c18  14</v>
      </c>
    </row>
    <row r="345" spans="1:10">
      <c r="A345" t="s">
        <v>10</v>
      </c>
      <c r="B345" s="2">
        <v>1200</v>
      </c>
      <c r="C345" t="s">
        <v>50</v>
      </c>
      <c r="D345" t="s">
        <v>856</v>
      </c>
      <c r="E345" t="s">
        <v>857</v>
      </c>
      <c r="F345" t="s">
        <v>476</v>
      </c>
      <c r="G345" t="s">
        <v>15</v>
      </c>
      <c r="H345" s="3">
        <v>39824.792361111111</v>
      </c>
      <c r="I345" t="str">
        <f ca="1">TEXT(TRUNC(34.09639), "0" &amp; CHAR(176) &amp; " ") &amp; TEXT(INT((ABS(34.09639)- INT(ABS(34.09639)))*60), "0' ") &amp; TEXT(((((ABS(34.09639)-INT(ABS(34.09639)))*60)- INT((ABS(34.09639) - INT(ABS(34.09639)))*60))*60), " 0''")</f>
        <v>34°c c5  47</v>
      </c>
      <c r="J345" t="str">
        <f ca="1">TEXT(TRUNC(-83.76139), "0" &amp; CHAR(176) &amp; " ") &amp; TEXT(INT((ABS(-83.76139)- INT(ABS(-83.76139)))*60), "0' ") &amp; TEXT(((((ABS(-83.76139)-INT(ABS(-83.76139)))*60)- INT((ABS(-83.76139) - INT(ABS(-83.76139)))*60))*60), " 0''")</f>
        <v>-83°c c45  41</v>
      </c>
    </row>
    <row r="346" spans="1:10">
      <c r="A346" t="s">
        <v>10</v>
      </c>
      <c r="B346" s="2">
        <v>1200</v>
      </c>
      <c r="C346" t="s">
        <v>11</v>
      </c>
      <c r="D346" t="s">
        <v>520</v>
      </c>
      <c r="E346" t="s">
        <v>860</v>
      </c>
      <c r="F346" t="s">
        <v>18</v>
      </c>
      <c r="G346" t="s">
        <v>19</v>
      </c>
      <c r="H346" s="3">
        <v>39825.011805555558</v>
      </c>
      <c r="I346" t="str">
        <f ca="1">TEXT(TRUNC(55.6166667), "0" &amp; CHAR(176) &amp; " ") &amp; TEXT(INT((ABS(55.6166667)- INT(ABS(55.6166667)))*60), "0' ") &amp; TEXT(((((ABS(55.6166667)-INT(ABS(55.6166667)))*60)- INT((ABS(55.6166667) - INT(ABS(55.6166667)))*60))*60), " 0''")</f>
        <v>55°c c37  0</v>
      </c>
      <c r="J346" t="str">
        <f ca="1">TEXT(TRUNC(12.35), "0" &amp; CHAR(176) &amp; " ") &amp; TEXT(INT((ABS(12.35)- INT(ABS(12.35)))*60), "0' ") &amp; TEXT(((((ABS(12.35)-INT(ABS(12.35)))*60)- INT((ABS(12.35) - INT(ABS(12.35)))*60))*60), " 0''")</f>
        <v>12°c c21  0</v>
      </c>
    </row>
    <row r="347" spans="1:10">
      <c r="A347" t="s">
        <v>10</v>
      </c>
      <c r="B347" s="2">
        <v>1200</v>
      </c>
      <c r="C347" t="s">
        <v>24</v>
      </c>
      <c r="D347" t="s">
        <v>861</v>
      </c>
      <c r="E347" t="s">
        <v>862</v>
      </c>
      <c r="F347" t="s">
        <v>113</v>
      </c>
      <c r="G347" t="s">
        <v>49</v>
      </c>
      <c r="H347" s="3">
        <v>39825.067361111112</v>
      </c>
      <c r="I347" t="str">
        <f ca="1">TEXT(TRUNC(-27.5), "0" &amp; CHAR(176) &amp; " ") &amp; TEXT(INT((ABS(-27.5)- INT(ABS(-27.5)))*60), "0' ") &amp; TEXT(((((ABS(-27.5)-INT(ABS(-27.5)))*60)- INT((ABS(-27.5) - INT(ABS(-27.5)))*60))*60), " 0''")</f>
        <v>-27°c c30  0</v>
      </c>
      <c r="J347" t="str">
        <f ca="1">TEXT(TRUNC(153.0166667), "0" &amp; CHAR(176) &amp; " ") &amp; TEXT(INT((ABS(153.0166667)- INT(ABS(153.0166667)))*60), "0' ") &amp; TEXT(((((ABS(153.0166667)-INT(ABS(153.0166667)))*60)- INT((ABS(153.0166667) - INT(ABS(153.0166667)))*60))*60), " 0''")</f>
        <v>153°c c1  0</v>
      </c>
    </row>
    <row r="348" spans="1:10">
      <c r="A348" t="s">
        <v>10</v>
      </c>
      <c r="B348" s="2">
        <v>1200</v>
      </c>
      <c r="C348" t="s">
        <v>11</v>
      </c>
      <c r="D348" t="s">
        <v>863</v>
      </c>
      <c r="E348" t="s">
        <v>864</v>
      </c>
      <c r="F348" t="s">
        <v>864</v>
      </c>
      <c r="G348" t="s">
        <v>23</v>
      </c>
      <c r="H348" s="3">
        <v>39825.070833333331</v>
      </c>
      <c r="I348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348" t="str">
        <f ca="1">TEXT(TRUNC(10), "0" &amp; CHAR(176) &amp; " ") &amp; TEXT(INT((ABS(10)- INT(ABS(10)))*60), "0' ") &amp; TEXT(((((ABS(10)-INT(ABS(10)))*60)- INT((ABS(10) - INT(ABS(10)))*60))*60), " 0''")</f>
        <v>10°c c0  0</v>
      </c>
    </row>
    <row r="349" spans="1:10">
      <c r="A349" t="s">
        <v>10</v>
      </c>
      <c r="B349" s="2">
        <v>1200</v>
      </c>
      <c r="C349" t="s">
        <v>11</v>
      </c>
      <c r="D349" t="s">
        <v>867</v>
      </c>
      <c r="E349" t="s">
        <v>868</v>
      </c>
      <c r="F349" t="s">
        <v>869</v>
      </c>
      <c r="G349" t="s">
        <v>15</v>
      </c>
      <c r="H349" s="3">
        <v>39825.142361111109</v>
      </c>
      <c r="I349" t="str">
        <f ca="1">TEXT(TRUNC(43.64917), "0" &amp; CHAR(176) &amp; " ") &amp; TEXT(INT((ABS(43.64917)- INT(ABS(43.64917)))*60), "0' ") &amp; TEXT(((((ABS(43.64917)-INT(ABS(43.64917)))*60)- INT((ABS(43.64917) - INT(ABS(43.64917)))*60))*60), " 0''")</f>
        <v>43°c c38  57</v>
      </c>
      <c r="J349" t="str">
        <f ca="1">TEXT(TRUNC(-72.31083), "0" &amp; CHAR(176) &amp; " ") &amp; TEXT(INT((ABS(-72.31083)- INT(ABS(-72.31083)))*60), "0' ") &amp; TEXT(((((ABS(-72.31083)-INT(ABS(-72.31083)))*60)- INT((ABS(-72.31083) - INT(ABS(-72.31083)))*60))*60), " 0''")</f>
        <v>-72°c c18  39</v>
      </c>
    </row>
    <row r="350" spans="1:10">
      <c r="A350" t="s">
        <v>10</v>
      </c>
      <c r="B350" s="2">
        <v>1200</v>
      </c>
      <c r="C350" t="s">
        <v>11</v>
      </c>
      <c r="D350" t="s">
        <v>870</v>
      </c>
      <c r="E350" t="s">
        <v>871</v>
      </c>
      <c r="F350" t="s">
        <v>53</v>
      </c>
      <c r="G350" t="s">
        <v>54</v>
      </c>
      <c r="H350" s="3">
        <v>39825.220833333333</v>
      </c>
      <c r="I350" t="str">
        <f ca="1">TEXT(TRUNC(50.9), "0" &amp; CHAR(176) &amp; " ") &amp; TEXT(INT((ABS(50.9)- INT(ABS(50.9)))*60), "0' ") &amp; TEXT(((((ABS(50.9)-INT(ABS(50.9)))*60)- INT((ABS(50.9) - INT(ABS(50.9)))*60))*60), " 0''")</f>
        <v>50°c c53  60</v>
      </c>
      <c r="J350" t="str">
        <f ca="1">TEXT(TRUNC(-1.4), "0" &amp; CHAR(176) &amp; " ") &amp; TEXT(INT((ABS(-1.4)- INT(ABS(-1.4)))*60), "0' ") &amp; TEXT(((((ABS(-1.4)-INT(ABS(-1.4)))*60)- INT((ABS(-1.4) - INT(ABS(-1.4)))*60))*60), " 0''")</f>
        <v>-1°c c24  0</v>
      </c>
    </row>
    <row r="351" spans="1:10">
      <c r="A351" t="s">
        <v>10</v>
      </c>
      <c r="B351" s="2">
        <v>1200</v>
      </c>
      <c r="C351" t="s">
        <v>24</v>
      </c>
      <c r="D351" t="s">
        <v>873</v>
      </c>
      <c r="E351" t="s">
        <v>874</v>
      </c>
      <c r="F351" t="s">
        <v>875</v>
      </c>
      <c r="G351" t="s">
        <v>876</v>
      </c>
      <c r="H351" s="3">
        <v>39825.277777777781</v>
      </c>
      <c r="I351" t="str">
        <f ca="1">TEXT(TRUNC(26.2172222), "0" &amp; CHAR(176) &amp; " ") &amp; TEXT(INT((ABS(26.2172222)- INT(ABS(26.2172222)))*60), "0' ") &amp; TEXT(((((ABS(26.2172222)-INT(ABS(26.2172222)))*60)- INT((ABS(26.2172222) - INT(ABS(26.2172222)))*60))*60), " 0''")</f>
        <v>26°c c13  2</v>
      </c>
      <c r="J351" t="str">
        <f ca="1">TEXT(TRUNC(50.5405556), "0" &amp; CHAR(176) &amp; " ") &amp; TEXT(INT((ABS(50.5405556)- INT(ABS(50.5405556)))*60), "0' ") &amp; TEXT(((((ABS(50.5405556)-INT(ABS(50.5405556)))*60)- INT((ABS(50.5405556) - INT(ABS(50.5405556)))*60))*60), " 0''")</f>
        <v>50°c c32  26</v>
      </c>
    </row>
    <row r="352" spans="1:10">
      <c r="A352" t="s">
        <v>10</v>
      </c>
      <c r="B352" s="2">
        <v>1200</v>
      </c>
      <c r="C352" t="s">
        <v>24</v>
      </c>
      <c r="D352" t="s">
        <v>432</v>
      </c>
      <c r="E352" t="s">
        <v>877</v>
      </c>
      <c r="F352" t="s">
        <v>57</v>
      </c>
      <c r="G352" t="s">
        <v>15</v>
      </c>
      <c r="H352" s="3">
        <v>39825.307638888888</v>
      </c>
      <c r="I352" t="str">
        <f ca="1">TEXT(TRUNC(37.98722), "0" &amp; CHAR(176) &amp; " ") &amp; TEXT(INT((ABS(37.98722)- INT(ABS(37.98722)))*60), "0' ") &amp; TEXT(((((ABS(37.98722)-INT(ABS(37.98722)))*60)- INT((ABS(37.98722) - INT(ABS(37.98722)))*60))*60), " 0''")</f>
        <v>37°c c59  14</v>
      </c>
      <c r="J352" t="str">
        <f ca="1">TEXT(TRUNC(-122.58778), "0" &amp; CHAR(176) &amp; " ") &amp; TEXT(INT((ABS(-122.58778)- INT(ABS(-122.58778)))*60), "0' ") &amp; TEXT(((((ABS(-122.58778)-INT(ABS(-122.58778)))*60)- INT((ABS(-122.58778) - INT(ABS(-122.58778)))*60))*60), " 0''")</f>
        <v>-122°c c35  16</v>
      </c>
    </row>
    <row r="353" spans="1:10">
      <c r="A353" t="s">
        <v>10</v>
      </c>
      <c r="B353" s="2">
        <v>1200</v>
      </c>
      <c r="C353" t="s">
        <v>33</v>
      </c>
      <c r="D353" t="s">
        <v>878</v>
      </c>
      <c r="E353" t="s">
        <v>879</v>
      </c>
      <c r="F353" t="s">
        <v>880</v>
      </c>
      <c r="G353" t="s">
        <v>159</v>
      </c>
      <c r="H353" s="3">
        <v>39825.311111111114</v>
      </c>
      <c r="I353" t="str">
        <f ca="1">TEXT(TRUNC(37.9333333), "0" &amp; CHAR(176) &amp; " ") &amp; TEXT(INT((ABS(37.9333333)- INT(ABS(37.9333333)))*60), "0' ") &amp; TEXT(((((ABS(37.9333333)-INT(ABS(37.9333333)))*60)- INT((ABS(37.9333333) - INT(ABS(37.9333333)))*60))*60), " 0''")</f>
        <v>37°c c55  60</v>
      </c>
      <c r="J353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354" spans="1:10">
      <c r="A354" t="s">
        <v>10</v>
      </c>
      <c r="B354" s="2">
        <v>1200</v>
      </c>
      <c r="C354" t="s">
        <v>33</v>
      </c>
      <c r="D354" t="s">
        <v>881</v>
      </c>
      <c r="E354" t="s">
        <v>882</v>
      </c>
      <c r="F354" t="s">
        <v>193</v>
      </c>
      <c r="G354" t="s">
        <v>15</v>
      </c>
      <c r="H354" s="3">
        <v>39825.336805555555</v>
      </c>
      <c r="I354" t="str">
        <f ca="1">TEXT(TRUNC(40.96333), "0" &amp; CHAR(176) &amp; " ") &amp; TEXT(INT((ABS(40.96333)- INT(ABS(40.96333)))*60), "0' ") &amp; TEXT(((((ABS(40.96333)-INT(ABS(40.96333)))*60)- INT((ABS(40.96333) - INT(ABS(40.96333)))*60))*60), " 0''")</f>
        <v>40°c c57  48</v>
      </c>
      <c r="J354" t="str">
        <f ca="1">TEXT(TRUNC(-76.61306), "0" &amp; CHAR(176) &amp; " ") &amp; TEXT(INT((ABS(-76.61306)- INT(ABS(-76.61306)))*60), "0' ") &amp; TEXT(((((ABS(-76.61306)-INT(ABS(-76.61306)))*60)- INT((ABS(-76.61306) - INT(ABS(-76.61306)))*60))*60), " 0''")</f>
        <v>-76°c c36  47</v>
      </c>
    </row>
    <row r="355" spans="1:10">
      <c r="A355" t="s">
        <v>10</v>
      </c>
      <c r="B355" s="2">
        <v>1200</v>
      </c>
      <c r="C355" t="s">
        <v>33</v>
      </c>
      <c r="D355" t="s">
        <v>883</v>
      </c>
      <c r="E355" t="s">
        <v>884</v>
      </c>
      <c r="F355" t="s">
        <v>357</v>
      </c>
      <c r="G355" t="s">
        <v>209</v>
      </c>
      <c r="H355" s="3">
        <v>39825.342361111114</v>
      </c>
      <c r="I355" t="str">
        <f ca="1">TEXT(TRUNC(59.3), "0" &amp; CHAR(176) &amp; " ") &amp; TEXT(INT((ABS(59.3)- INT(ABS(59.3)))*60), "0' ") &amp; TEXT(((((ABS(59.3)-INT(ABS(59.3)))*60)- INT((ABS(59.3) - INT(ABS(59.3)))*60))*60), " 0''")</f>
        <v>59°c c17  60</v>
      </c>
      <c r="J355" t="str">
        <f ca="1">TEXT(TRUNC(18.1666667), "0" &amp; CHAR(176) &amp; " ") &amp; TEXT(INT((ABS(18.1666667)- INT(ABS(18.1666667)))*60), "0' ") &amp; TEXT(((((ABS(18.1666667)-INT(ABS(18.1666667)))*60)- INT((ABS(18.1666667) - INT(ABS(18.1666667)))*60))*60), " 0''")</f>
        <v>18°c c10  0</v>
      </c>
    </row>
    <row r="356" spans="1:10">
      <c r="A356" t="s">
        <v>10</v>
      </c>
      <c r="B356" s="2">
        <v>1200</v>
      </c>
      <c r="C356" t="s">
        <v>11</v>
      </c>
      <c r="D356" t="s">
        <v>698</v>
      </c>
      <c r="E356" t="s">
        <v>885</v>
      </c>
      <c r="F356" t="s">
        <v>45</v>
      </c>
      <c r="G356" t="s">
        <v>15</v>
      </c>
      <c r="H356" s="3">
        <v>39825.390972222223</v>
      </c>
      <c r="I356" t="str">
        <f ca="1">TEXT(TRUNC(28.02194), "0" &amp; CHAR(176) &amp; " ") &amp; TEXT(INT((ABS(28.02194)- INT(ABS(28.02194)))*60), "0' ") &amp; TEXT(((((ABS(28.02194)-INT(ABS(28.02194)))*60)- INT((ABS(28.02194) - INT(ABS(28.02194)))*60))*60), " 0''")</f>
        <v>28°c c1  19</v>
      </c>
      <c r="J356" t="str">
        <f ca="1">TEXT(TRUNC(-81.73306), "0" &amp; CHAR(176) &amp; " ") &amp; TEXT(INT((ABS(-81.73306)- INT(ABS(-81.73306)))*60), "0' ") &amp; TEXT(((((ABS(-81.73306)-INT(ABS(-81.73306)))*60)- INT((ABS(-81.73306) - INT(ABS(-81.73306)))*60))*60), " 0''")</f>
        <v>-81°c c43  59</v>
      </c>
    </row>
    <row r="357" spans="1:10">
      <c r="A357" t="s">
        <v>10</v>
      </c>
      <c r="B357" s="2">
        <v>1200</v>
      </c>
      <c r="C357" t="s">
        <v>50</v>
      </c>
      <c r="D357" t="s">
        <v>886</v>
      </c>
      <c r="E357" t="s">
        <v>464</v>
      </c>
      <c r="F357" t="s">
        <v>397</v>
      </c>
      <c r="G357" t="s">
        <v>23</v>
      </c>
      <c r="H357" s="3">
        <v>39825.404861111114</v>
      </c>
      <c r="I357" t="str">
        <f ca="1">TEXT(TRUNC(51.7166667), "0" &amp; CHAR(176) &amp; " ") &amp; TEXT(INT((ABS(51.7166667)- INT(ABS(51.7166667)))*60), "0' ") &amp; TEXT(((((ABS(51.7166667)-INT(ABS(51.7166667)))*60)- INT((ABS(51.7166667) - INT(ABS(51.7166667)))*60))*60), " 0''")</f>
        <v>51°c c43  0</v>
      </c>
      <c r="J357" t="str">
        <f ca="1">TEXT(TRUNC(6.5), "0" &amp; CHAR(176) &amp; " ") &amp; TEXT(INT((ABS(6.5)- INT(ABS(6.5)))*60), "0' ") &amp; TEXT(((((ABS(6.5)-INT(ABS(6.5)))*60)- INT((ABS(6.5) - INT(ABS(6.5)))*60))*60), " 0''")</f>
        <v>6°c c30  0</v>
      </c>
    </row>
    <row r="358" spans="1:10">
      <c r="A358" t="s">
        <v>10</v>
      </c>
      <c r="B358" s="2">
        <v>1200</v>
      </c>
      <c r="C358" t="s">
        <v>11</v>
      </c>
      <c r="D358" t="s">
        <v>101</v>
      </c>
      <c r="E358" t="s">
        <v>100</v>
      </c>
      <c r="F358" t="s">
        <v>80</v>
      </c>
      <c r="G358" t="s">
        <v>81</v>
      </c>
      <c r="H358" s="3">
        <v>39825.42083333333</v>
      </c>
      <c r="I358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358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359" spans="1:10">
      <c r="A359" t="s">
        <v>10</v>
      </c>
      <c r="B359" s="2">
        <v>1200</v>
      </c>
      <c r="C359" t="s">
        <v>33</v>
      </c>
      <c r="D359" t="s">
        <v>890</v>
      </c>
      <c r="E359" t="s">
        <v>517</v>
      </c>
      <c r="F359" t="s">
        <v>68</v>
      </c>
      <c r="G359" t="s">
        <v>15</v>
      </c>
      <c r="H359" s="3">
        <v>39825.439583333333</v>
      </c>
      <c r="I359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59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60" spans="1:10">
      <c r="A360" t="s">
        <v>10</v>
      </c>
      <c r="B360" s="2">
        <v>1200</v>
      </c>
      <c r="C360" t="s">
        <v>24</v>
      </c>
      <c r="D360" t="s">
        <v>618</v>
      </c>
      <c r="E360" t="s">
        <v>709</v>
      </c>
      <c r="F360" t="s">
        <v>709</v>
      </c>
      <c r="G360" t="s">
        <v>159</v>
      </c>
      <c r="H360" s="3">
        <v>39825.469444444447</v>
      </c>
      <c r="I360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360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361" spans="1:10">
      <c r="A361" t="s">
        <v>10</v>
      </c>
      <c r="B361" s="2">
        <v>1200</v>
      </c>
      <c r="C361" t="s">
        <v>24</v>
      </c>
      <c r="D361" t="s">
        <v>892</v>
      </c>
      <c r="E361" t="s">
        <v>893</v>
      </c>
      <c r="F361" t="s">
        <v>252</v>
      </c>
      <c r="G361" t="s">
        <v>81</v>
      </c>
      <c r="H361" s="3">
        <v>39825.491666666669</v>
      </c>
      <c r="I361" t="str">
        <f ca="1">TEXT(TRUNC(49.0166667), "0" &amp; CHAR(176) &amp; " ") &amp; TEXT(INT((ABS(49.0166667)- INT(ABS(49.0166667)))*60), "0' ") &amp; TEXT(((((ABS(49.0166667)-INT(ABS(49.0166667)))*60)- INT((ABS(49.0166667) - INT(ABS(49.0166667)))*60))*60), " 0''")</f>
        <v>49°c c1  0</v>
      </c>
      <c r="J361" t="str">
        <f ca="1">TEXT(TRUNC(-123.0833333), "0" &amp; CHAR(176) &amp; " ") &amp; TEXT(INT((ABS(-123.0833333)- INT(ABS(-123.0833333)))*60), "0' ") &amp; TEXT(((((ABS(-123.0833333)-INT(ABS(-123.0833333)))*60)- INT((ABS(-123.0833333) - INT(ABS(-123.0833333)))*60))*60), " 0''")</f>
        <v>-123°c c4  60</v>
      </c>
    </row>
    <row r="362" spans="1:10">
      <c r="A362" t="s">
        <v>10</v>
      </c>
      <c r="B362" s="2">
        <v>1200</v>
      </c>
      <c r="C362" t="s">
        <v>11</v>
      </c>
      <c r="D362" t="s">
        <v>25</v>
      </c>
      <c r="E362" t="s">
        <v>894</v>
      </c>
      <c r="F362" t="s">
        <v>895</v>
      </c>
      <c r="G362" t="s">
        <v>15</v>
      </c>
      <c r="H362" s="3">
        <v>39825.491666666669</v>
      </c>
      <c r="I362" t="str">
        <f ca="1">TEXT(TRUNC(44.1786), "0" &amp; CHAR(176) &amp; " ") &amp; TEXT(INT((ABS(44.1786)- INT(ABS(44.1786)))*60), "0' ") &amp; TEXT(((((ABS(44.1786)-INT(ABS(44.1786)))*60)- INT((ABS(44.1786) - INT(ABS(44.1786)))*60))*60), " 0''")</f>
        <v>44°c c10  43</v>
      </c>
      <c r="J362" t="str">
        <f ca="1">TEXT(TRUNC(-70.7164), "0" &amp; CHAR(176) &amp; " ") &amp; TEXT(INT((ABS(-70.7164)- INT(ABS(-70.7164)))*60), "0' ") &amp; TEXT(((((ABS(-70.7164)-INT(ABS(-70.7164)))*60)- INT((ABS(-70.7164) - INT(ABS(-70.7164)))*60))*60), " 0''")</f>
        <v>-70°c c42  59</v>
      </c>
    </row>
    <row r="363" spans="1:10">
      <c r="A363" t="s">
        <v>10</v>
      </c>
      <c r="B363" s="2">
        <v>1200</v>
      </c>
      <c r="C363" t="s">
        <v>11</v>
      </c>
      <c r="D363" t="s">
        <v>440</v>
      </c>
      <c r="E363" t="s">
        <v>896</v>
      </c>
      <c r="F363" t="s">
        <v>895</v>
      </c>
      <c r="G363" t="s">
        <v>15</v>
      </c>
      <c r="H363" s="3">
        <v>39825.5</v>
      </c>
      <c r="I363" t="str">
        <f ca="1">TEXT(TRUNC(44.94611), "0" &amp; CHAR(176) &amp; " ") &amp; TEXT(INT((ABS(44.94611)- INT(ABS(44.94611)))*60), "0' ") &amp; TEXT(((((ABS(44.94611)-INT(ABS(44.94611)))*60)- INT((ABS(44.94611) - INT(ABS(44.94611)))*60))*60), " 0''")</f>
        <v>44°c c56  46</v>
      </c>
      <c r="J363" t="str">
        <f ca="1">TEXT(TRUNC(-68.64444), "0" &amp; CHAR(176) &amp; " ") &amp; TEXT(INT((ABS(-68.64444)- INT(ABS(-68.64444)))*60), "0' ") &amp; TEXT(((((ABS(-68.64444)-INT(ABS(-68.64444)))*60)- INT((ABS(-68.64444) - INT(ABS(-68.64444)))*60))*60), " 0''")</f>
        <v>-68°c c38  40</v>
      </c>
    </row>
    <row r="364" spans="1:10">
      <c r="A364" t="s">
        <v>10</v>
      </c>
      <c r="B364" s="2">
        <v>1200</v>
      </c>
      <c r="C364" t="s">
        <v>24</v>
      </c>
      <c r="D364" t="s">
        <v>897</v>
      </c>
      <c r="E364" t="s">
        <v>884</v>
      </c>
      <c r="F364" t="s">
        <v>357</v>
      </c>
      <c r="G364" t="s">
        <v>209</v>
      </c>
      <c r="H364" s="3">
        <v>39825.50277777778</v>
      </c>
      <c r="I364" t="str">
        <f ca="1">TEXT(TRUNC(59.3), "0" &amp; CHAR(176) &amp; " ") &amp; TEXT(INT((ABS(59.3)- INT(ABS(59.3)))*60), "0' ") &amp; TEXT(((((ABS(59.3)-INT(ABS(59.3)))*60)- INT((ABS(59.3) - INT(ABS(59.3)))*60))*60), " 0''")</f>
        <v>59°c c17  60</v>
      </c>
      <c r="J364" t="str">
        <f ca="1">TEXT(TRUNC(18.1666667), "0" &amp; CHAR(176) &amp; " ") &amp; TEXT(INT((ABS(18.1666667)- INT(ABS(18.1666667)))*60), "0' ") &amp; TEXT(((((ABS(18.1666667)-INT(ABS(18.1666667)))*60)- INT((ABS(18.1666667) - INT(ABS(18.1666667)))*60))*60), " 0''")</f>
        <v>18°c c10  0</v>
      </c>
    </row>
    <row r="365" spans="1:10">
      <c r="A365" t="s">
        <v>10</v>
      </c>
      <c r="B365" s="2">
        <v>1200</v>
      </c>
      <c r="C365" t="s">
        <v>11</v>
      </c>
      <c r="D365" t="s">
        <v>898</v>
      </c>
      <c r="E365" t="s">
        <v>899</v>
      </c>
      <c r="F365" t="s">
        <v>900</v>
      </c>
      <c r="G365" t="s">
        <v>209</v>
      </c>
      <c r="H365" s="3">
        <v>39825.515277777777</v>
      </c>
      <c r="I365" t="str">
        <f ca="1">TEXT(TRUNC(60.3333333), "0" &amp; CHAR(176) &amp; " ") &amp; TEXT(INT((ABS(60.3333333)- INT(ABS(60.3333333)))*60), "0' ") &amp; TEXT(((((ABS(60.3333333)-INT(ABS(60.3333333)))*60)- INT((ABS(60.3333333) - INT(ABS(60.3333333)))*60))*60), " 0''")</f>
        <v>60°c c19  60</v>
      </c>
      <c r="J365" t="str">
        <f ca="1">TEXT(TRUNC(17.5), "0" &amp; CHAR(176) &amp; " ") &amp; TEXT(INT((ABS(17.5)- INT(ABS(17.5)))*60), "0' ") &amp; TEXT(((((ABS(17.5)-INT(ABS(17.5)))*60)- INT((ABS(17.5) - INT(ABS(17.5)))*60))*60), " 0''")</f>
        <v>17°c c30  0</v>
      </c>
    </row>
    <row r="366" spans="1:10">
      <c r="A366" t="s">
        <v>10</v>
      </c>
      <c r="B366" s="2">
        <v>1200</v>
      </c>
      <c r="C366" t="s">
        <v>24</v>
      </c>
      <c r="D366" t="s">
        <v>420</v>
      </c>
      <c r="E366" t="s">
        <v>810</v>
      </c>
      <c r="F366" t="s">
        <v>476</v>
      </c>
      <c r="G366" t="s">
        <v>15</v>
      </c>
      <c r="H366" s="3">
        <v>39825.525694444441</v>
      </c>
      <c r="I366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366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367" spans="1:10">
      <c r="A367" t="s">
        <v>10</v>
      </c>
      <c r="B367" s="2">
        <v>1200</v>
      </c>
      <c r="C367" t="s">
        <v>24</v>
      </c>
      <c r="D367" t="s">
        <v>903</v>
      </c>
      <c r="E367" t="s">
        <v>904</v>
      </c>
      <c r="F367" t="s">
        <v>905</v>
      </c>
      <c r="G367" t="s">
        <v>905</v>
      </c>
      <c r="H367" s="3">
        <v>39825.570138888892</v>
      </c>
      <c r="I367" t="str">
        <f ca="1">TEXT(TRUNC(49.5855556), "0" &amp; CHAR(176) &amp; " ") &amp; TEXT(INT((ABS(49.5855556)- INT(ABS(49.5855556)))*60), "0' ") &amp; TEXT(((((ABS(49.5855556)-INT(ABS(49.5855556)))*60)- INT((ABS(49.5855556) - INT(ABS(49.5855556)))*60))*60), " 0''")</f>
        <v>49°c c35  8</v>
      </c>
      <c r="J367" t="str">
        <f ca="1">TEXT(TRUNC(6.1230556), "0" &amp; CHAR(176) &amp; " ") &amp; TEXT(INT((ABS(6.1230556)- INT(ABS(6.1230556)))*60), "0' ") &amp; TEXT(((((ABS(6.1230556)-INT(ABS(6.1230556)))*60)- INT((ABS(6.1230556) - INT(ABS(6.1230556)))*60))*60), " 0''")</f>
        <v>6°c c7  23</v>
      </c>
    </row>
    <row r="368" spans="1:10">
      <c r="A368" t="s">
        <v>10</v>
      </c>
      <c r="B368" s="2">
        <v>1200</v>
      </c>
      <c r="C368" t="s">
        <v>33</v>
      </c>
      <c r="D368" t="s">
        <v>906</v>
      </c>
      <c r="E368" t="s">
        <v>907</v>
      </c>
      <c r="F368" t="s">
        <v>53</v>
      </c>
      <c r="G368" t="s">
        <v>54</v>
      </c>
      <c r="H368" s="3">
        <v>39825.570138888892</v>
      </c>
      <c r="I368" t="str">
        <f ca="1">TEXT(TRUNC(51.35), "0" &amp; CHAR(176) &amp; " ") &amp; TEXT(INT((ABS(51.35)- INT(ABS(51.35)))*60), "0' ") &amp; TEXT(((((ABS(51.35)-INT(ABS(51.35)))*60)- INT((ABS(51.35) - INT(ABS(51.35)))*60))*60), " 0''")</f>
        <v>51°c c21  0</v>
      </c>
      <c r="J368" t="str">
        <f ca="1">TEXT(TRUNC(-0.35), "0" &amp; CHAR(176) &amp; " ") &amp; TEXT(INT((ABS(-0.35)- INT(ABS(-0.35)))*60), "0' ") &amp; TEXT(((((ABS(-0.35)-INT(ABS(-0.35)))*60)- INT((ABS(-0.35) - INT(ABS(-0.35)))*60))*60), " 0''")</f>
        <v>0°c c21  0</v>
      </c>
    </row>
    <row r="369" spans="1:10">
      <c r="A369" t="s">
        <v>10</v>
      </c>
      <c r="B369" s="2">
        <v>1200</v>
      </c>
      <c r="C369" t="s">
        <v>11</v>
      </c>
      <c r="D369" t="s">
        <v>908</v>
      </c>
      <c r="E369" t="s">
        <v>909</v>
      </c>
      <c r="F369" t="s">
        <v>383</v>
      </c>
      <c r="G369" t="s">
        <v>174</v>
      </c>
      <c r="H369" s="3">
        <v>39825.609027777777</v>
      </c>
      <c r="I369" t="str">
        <f ca="1">TEXT(TRUNC(46.0333333), "0" &amp; CHAR(176) &amp; " ") &amp; TEXT(INT((ABS(46.0333333)- INT(ABS(46.0333333)))*60), "0' ") &amp; TEXT(((((ABS(46.0333333)-INT(ABS(46.0333333)))*60)- INT((ABS(46.0333333) - INT(ABS(46.0333333)))*60))*60), " 0''")</f>
        <v>46°c c1  60</v>
      </c>
      <c r="J369" t="str">
        <f ca="1">TEXT(TRUNC(6.2333333), "0" &amp; CHAR(176) &amp; " ") &amp; TEXT(INT((ABS(6.2333333)- INT(ABS(6.2333333)))*60), "0' ") &amp; TEXT(((((ABS(6.2333333)-INT(ABS(6.2333333)))*60)- INT((ABS(6.2333333) - INT(ABS(6.2333333)))*60))*60), " 0''")</f>
        <v>6°c c13  60</v>
      </c>
    </row>
    <row r="370" spans="1:10">
      <c r="A370" t="s">
        <v>10</v>
      </c>
      <c r="B370" s="2">
        <v>1200</v>
      </c>
      <c r="C370" t="s">
        <v>24</v>
      </c>
      <c r="D370" t="s">
        <v>910</v>
      </c>
      <c r="E370" t="s">
        <v>413</v>
      </c>
      <c r="F370" t="s">
        <v>190</v>
      </c>
      <c r="G370" t="s">
        <v>15</v>
      </c>
      <c r="H370" s="3">
        <v>39825.618055555555</v>
      </c>
      <c r="I370" t="str">
        <f ca="1">TEXT(TRUNC(42.41528), "0" &amp; CHAR(176) &amp; " ") &amp; TEXT(INT((ABS(42.41528)- INT(ABS(42.41528)))*60), "0' ") &amp; TEXT(((((ABS(42.41528)-INT(ABS(42.41528)))*60)- INT((ABS(42.41528) - INT(ABS(42.41528)))*60))*60), " 0''")</f>
        <v>42°c c24  55</v>
      </c>
      <c r="J370" t="str">
        <f ca="1">TEXT(TRUNC(-71.15694), "0" &amp; CHAR(176) &amp; " ") &amp; TEXT(INT((ABS(-71.15694)- INT(ABS(-71.15694)))*60), "0' ") &amp; TEXT(((((ABS(-71.15694)-INT(ABS(-71.15694)))*60)- INT((ABS(-71.15694) - INT(ABS(-71.15694)))*60))*60), " 0''")</f>
        <v>-71°c c9  25</v>
      </c>
    </row>
    <row r="371" spans="1:10">
      <c r="A371" t="s">
        <v>10</v>
      </c>
      <c r="B371" s="2">
        <v>1200</v>
      </c>
      <c r="C371" t="s">
        <v>11</v>
      </c>
      <c r="D371" t="s">
        <v>739</v>
      </c>
      <c r="E371" t="s">
        <v>911</v>
      </c>
      <c r="F371" t="s">
        <v>179</v>
      </c>
      <c r="G371" t="s">
        <v>15</v>
      </c>
      <c r="H371" s="3">
        <v>39825.633333333331</v>
      </c>
      <c r="I371" t="str">
        <f ca="1">TEXT(TRUNC(39.83806), "0" &amp; CHAR(176) &amp; " ") &amp; TEXT(INT((ABS(39.83806)- INT(ABS(39.83806)))*60), "0' ") &amp; TEXT(((((ABS(39.83806)-INT(ABS(39.83806)))*60)- INT((ABS(39.83806) - INT(ABS(39.83806)))*60))*60), " 0''")</f>
        <v>39°c c50  17</v>
      </c>
      <c r="J371" t="str">
        <f ca="1">TEXT(TRUNC(-75.15306), "0" &amp; CHAR(176) &amp; " ") &amp; TEXT(INT((ABS(-75.15306)- INT(ABS(-75.15306)))*60), "0' ") &amp; TEXT(((((ABS(-75.15306)-INT(ABS(-75.15306)))*60)- INT((ABS(-75.15306) - INT(ABS(-75.15306)))*60))*60), " 0''")</f>
        <v>-75°c c9  11</v>
      </c>
    </row>
    <row r="372" spans="1:10">
      <c r="A372" t="s">
        <v>10</v>
      </c>
      <c r="B372" s="2">
        <v>1200</v>
      </c>
      <c r="C372" t="s">
        <v>24</v>
      </c>
      <c r="D372" t="s">
        <v>912</v>
      </c>
      <c r="E372" t="s">
        <v>913</v>
      </c>
      <c r="F372" t="s">
        <v>71</v>
      </c>
      <c r="G372" t="s">
        <v>914</v>
      </c>
      <c r="H372" s="3">
        <v>39825.636111111111</v>
      </c>
      <c r="I372" t="str">
        <f ca="1">TEXT(TRUNC(63.85), "0" &amp; CHAR(176) &amp; " ") &amp; TEXT(INT((ABS(63.85)- INT(ABS(63.85)))*60), "0' ") &amp; TEXT(((((ABS(63.85)-INT(ABS(63.85)))*60)- INT((ABS(63.85) - INT(ABS(63.85)))*60))*60), " 0''")</f>
        <v>63°c c51  0</v>
      </c>
      <c r="J372" t="str">
        <f ca="1">TEXT(TRUNC(-21.3666667), "0" &amp; CHAR(176) &amp; " ") &amp; TEXT(INT((ABS(-21.3666667)- INT(ABS(-21.3666667)))*60), "0' ") &amp; TEXT(((((ABS(-21.3666667)-INT(ABS(-21.3666667)))*60)- INT((ABS(-21.3666667) - INT(ABS(-21.3666667)))*60))*60), " 0''")</f>
        <v>-21°c c22  0</v>
      </c>
    </row>
    <row r="373" spans="1:10">
      <c r="A373" t="s">
        <v>10</v>
      </c>
      <c r="B373" s="2">
        <v>1200</v>
      </c>
      <c r="C373" t="s">
        <v>24</v>
      </c>
      <c r="D373" t="s">
        <v>915</v>
      </c>
      <c r="E373" t="s">
        <v>517</v>
      </c>
      <c r="F373" t="s">
        <v>68</v>
      </c>
      <c r="G373" t="s">
        <v>15</v>
      </c>
      <c r="H373" s="3">
        <v>39825.701388888891</v>
      </c>
      <c r="I373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373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374" spans="1:10">
      <c r="A374" t="s">
        <v>10</v>
      </c>
      <c r="B374" s="2">
        <v>1200</v>
      </c>
      <c r="C374" t="s">
        <v>33</v>
      </c>
      <c r="D374" t="s">
        <v>917</v>
      </c>
      <c r="E374" t="s">
        <v>243</v>
      </c>
      <c r="F374" t="s">
        <v>244</v>
      </c>
      <c r="G374" t="s">
        <v>15</v>
      </c>
      <c r="H374" s="3">
        <v>39825.727777777778</v>
      </c>
      <c r="I374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374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375" spans="1:10">
      <c r="A375" t="s">
        <v>10</v>
      </c>
      <c r="B375" s="2">
        <v>1200</v>
      </c>
      <c r="C375" t="s">
        <v>50</v>
      </c>
      <c r="D375" t="s">
        <v>918</v>
      </c>
      <c r="E375" t="s">
        <v>919</v>
      </c>
      <c r="F375" t="s">
        <v>14</v>
      </c>
      <c r="G375" t="s">
        <v>15</v>
      </c>
      <c r="H375" s="3">
        <v>39825.76666666667</v>
      </c>
      <c r="I375" t="str">
        <f ca="1">TEXT(TRUNC(42.9825), "0" &amp; CHAR(176) &amp; " ") &amp; TEXT(INT((ABS(42.9825)- INT(ABS(42.9825)))*60), "0' ") &amp; TEXT(((((ABS(42.9825)-INT(ABS(42.9825)))*60)- INT((ABS(42.9825) - INT(ABS(42.9825)))*60))*60), " 0''")</f>
        <v>42°c c58  57</v>
      </c>
      <c r="J375" t="str">
        <f ca="1">TEXT(TRUNC(-77.40917), "0" &amp; CHAR(176) &amp; " ") &amp; TEXT(INT((ABS(-77.40917)- INT(ABS(-77.40917)))*60), "0' ") &amp; TEXT(((((ABS(-77.40917)-INT(ABS(-77.40917)))*60)- INT((ABS(-77.40917) - INT(ABS(-77.40917)))*60))*60), " 0''")</f>
        <v>-77°c c24  33</v>
      </c>
    </row>
    <row r="376" spans="1:10">
      <c r="A376" t="s">
        <v>10</v>
      </c>
      <c r="B376" s="2">
        <v>1200</v>
      </c>
      <c r="C376" t="s">
        <v>24</v>
      </c>
      <c r="D376" t="s">
        <v>920</v>
      </c>
      <c r="E376" t="s">
        <v>921</v>
      </c>
      <c r="F376" t="s">
        <v>252</v>
      </c>
      <c r="G376" t="s">
        <v>81</v>
      </c>
      <c r="H376" s="3">
        <v>39825.794444444444</v>
      </c>
      <c r="I376" t="str">
        <f ca="1">TEXT(TRUNC(49.6833333), "0" &amp; CHAR(176) &amp; " ") &amp; TEXT(INT((ABS(49.6833333)- INT(ABS(49.6833333)))*60), "0' ") &amp; TEXT(((((ABS(49.6833333)-INT(ABS(49.6833333)))*60)- INT((ABS(49.6833333) - INT(ABS(49.6833333)))*60))*60), " 0''")</f>
        <v>49°c c40  60</v>
      </c>
      <c r="J376" t="str">
        <f ca="1">TEXT(TRUNC(-124.9333333), "0" &amp; CHAR(176) &amp; " ") &amp; TEXT(INT((ABS(-124.9333333)- INT(ABS(-124.9333333)))*60), "0' ") &amp; TEXT(((((ABS(-124.9333333)-INT(ABS(-124.9333333)))*60)- INT((ABS(-124.9333333) - INT(ABS(-124.9333333)))*60))*60), " 0''")</f>
        <v>-124°c c55  60</v>
      </c>
    </row>
    <row r="377" spans="1:10">
      <c r="A377" t="s">
        <v>10</v>
      </c>
      <c r="B377" s="2">
        <v>1200</v>
      </c>
      <c r="C377" t="s">
        <v>11</v>
      </c>
      <c r="D377" t="s">
        <v>922</v>
      </c>
      <c r="E377" t="s">
        <v>923</v>
      </c>
      <c r="F377" t="s">
        <v>27</v>
      </c>
      <c r="G377" t="s">
        <v>15</v>
      </c>
      <c r="H377" s="3">
        <v>39825.824305555558</v>
      </c>
      <c r="I377" t="str">
        <f ca="1">TEXT(TRUNC(32.81389), "0" &amp; CHAR(176) &amp; " ") &amp; TEXT(INT((ABS(32.81389)- INT(ABS(32.81389)))*60), "0' ") &amp; TEXT(((((ABS(32.81389)-INT(ABS(32.81389)))*60)- INT((ABS(32.81389) - INT(ABS(32.81389)))*60))*60), " 0''")</f>
        <v>32°c c48  50</v>
      </c>
      <c r="J377" t="str">
        <f ca="1">TEXT(TRUNC(-96.94861), "0" &amp; CHAR(176) &amp; " ") &amp; TEXT(INT((ABS(-96.94861)- INT(ABS(-96.94861)))*60), "0' ") &amp; TEXT(((((ABS(-96.94861)-INT(ABS(-96.94861)))*60)- INT((ABS(-96.94861) - INT(ABS(-96.94861)))*60))*60), " 0''")</f>
        <v>-96°c c56  55</v>
      </c>
    </row>
    <row r="378" spans="1:10">
      <c r="A378" t="s">
        <v>10</v>
      </c>
      <c r="B378" s="2">
        <v>1200</v>
      </c>
      <c r="C378" t="s">
        <v>24</v>
      </c>
      <c r="D378" t="s">
        <v>924</v>
      </c>
      <c r="E378" t="s">
        <v>925</v>
      </c>
      <c r="F378" t="s">
        <v>926</v>
      </c>
      <c r="G378" t="s">
        <v>926</v>
      </c>
      <c r="H378" s="3">
        <v>39825.854861111111</v>
      </c>
      <c r="I378" t="str">
        <f ca="1">TEXT(TRUNC(14.65), "0" &amp; CHAR(176) &amp; " ") &amp; TEXT(INT((ABS(14.65)- INT(ABS(14.65)))*60), "0' ") &amp; TEXT(((((ABS(14.65)-INT(ABS(14.65)))*60)- INT((ABS(14.65) - INT(ABS(14.65)))*60))*60), " 0''")</f>
        <v>14°c c39  0</v>
      </c>
      <c r="J378" t="str">
        <f ca="1">TEXT(TRUNC(-90.4833333), "0" &amp; CHAR(176) &amp; " ") &amp; TEXT(INT((ABS(-90.4833333)- INT(ABS(-90.4833333)))*60), "0' ") &amp; TEXT(((((ABS(-90.4833333)-INT(ABS(-90.4833333)))*60)- INT((ABS(-90.4833333) - INT(ABS(-90.4833333)))*60))*60), " 0''")</f>
        <v>-90°c c28  60</v>
      </c>
    </row>
    <row r="379" spans="1:10">
      <c r="A379" t="s">
        <v>10</v>
      </c>
      <c r="B379" s="2">
        <v>1200</v>
      </c>
      <c r="C379" t="s">
        <v>24</v>
      </c>
      <c r="D379" t="s">
        <v>927</v>
      </c>
      <c r="E379" t="s">
        <v>928</v>
      </c>
      <c r="F379" t="s">
        <v>68</v>
      </c>
      <c r="G379" t="s">
        <v>15</v>
      </c>
      <c r="H379" s="3">
        <v>39825.863194444442</v>
      </c>
      <c r="I379" t="str">
        <f ca="1">TEXT(TRUNC(47.7575), "0" &amp; CHAR(176) &amp; " ") &amp; TEXT(INT((ABS(47.7575)- INT(ABS(47.7575)))*60), "0' ") &amp; TEXT(((((ABS(47.7575)-INT(ABS(47.7575)))*60)- INT((ABS(47.7575) - INT(ABS(47.7575)))*60))*60), " 0''")</f>
        <v>47°c c45  27</v>
      </c>
      <c r="J379" t="str">
        <f ca="1">TEXT(TRUNC(-122.24278), "0" &amp; CHAR(176) &amp; " ") &amp; TEXT(INT((ABS(-122.24278)- INT(ABS(-122.24278)))*60), "0' ") &amp; TEXT(((((ABS(-122.24278)-INT(ABS(-122.24278)))*60)- INT((ABS(-122.24278) - INT(ABS(-122.24278)))*60))*60), " 0''")</f>
        <v>-122°c c14  34</v>
      </c>
    </row>
    <row r="380" spans="1:10">
      <c r="A380" t="s">
        <v>10</v>
      </c>
      <c r="B380" s="2">
        <v>1200</v>
      </c>
      <c r="C380" t="s">
        <v>24</v>
      </c>
      <c r="D380" t="s">
        <v>929</v>
      </c>
      <c r="E380" t="s">
        <v>930</v>
      </c>
      <c r="F380" t="s">
        <v>931</v>
      </c>
      <c r="G380" t="s">
        <v>15</v>
      </c>
      <c r="H380" s="3">
        <v>39825.895833333336</v>
      </c>
      <c r="I380" t="str">
        <f ca="1">TEXT(TRUNC(43.07306), "0" &amp; CHAR(176) &amp; " ") &amp; TEXT(INT((ABS(43.07306)- INT(ABS(43.07306)))*60), "0' ") &amp; TEXT(((((ABS(43.07306)-INT(ABS(43.07306)))*60)- INT((ABS(43.07306) - INT(ABS(43.07306)))*60))*60), " 0''")</f>
        <v>43°c c4  23</v>
      </c>
      <c r="J380" t="str">
        <f ca="1">TEXT(TRUNC(-89.40111), "0" &amp; CHAR(176) &amp; " ") &amp; TEXT(INT((ABS(-89.40111)- INT(ABS(-89.40111)))*60), "0' ") &amp; TEXT(((((ABS(-89.40111)-INT(ABS(-89.40111)))*60)- INT((ABS(-89.40111) - INT(ABS(-89.40111)))*60))*60), " 0''")</f>
        <v>-89°c c24  4</v>
      </c>
    </row>
    <row r="381" spans="1:10">
      <c r="A381" t="s">
        <v>10</v>
      </c>
      <c r="B381" s="2">
        <v>1200</v>
      </c>
      <c r="C381" t="s">
        <v>11</v>
      </c>
      <c r="D381" t="s">
        <v>932</v>
      </c>
      <c r="E381" t="s">
        <v>933</v>
      </c>
      <c r="F381" t="s">
        <v>934</v>
      </c>
      <c r="G381" t="s">
        <v>75</v>
      </c>
      <c r="H381" s="3">
        <v>39825.972916666666</v>
      </c>
      <c r="I381" t="str">
        <f ca="1">TEXT(TRUNC(47.5166667), "0" &amp; CHAR(176) &amp; " ") &amp; TEXT(INT((ABS(47.5166667)- INT(ABS(47.5166667)))*60), "0' ") &amp; TEXT(((((ABS(47.5166667)-INT(ABS(47.5166667)))*60)- INT((ABS(47.5166667) - INT(ABS(47.5166667)))*60))*60), " 0''")</f>
        <v>47°c c31  0</v>
      </c>
      <c r="J381" t="str">
        <f ca="1">TEXT(TRUNC(7.55), "0" &amp; CHAR(176) &amp; " ") &amp; TEXT(INT((ABS(7.55)- INT(ABS(7.55)))*60), "0' ") &amp; TEXT(((((ABS(7.55)-INT(ABS(7.55)))*60)- INT((ABS(7.55) - INT(ABS(7.55)))*60))*60), " 0''")</f>
        <v>7°c c33  0</v>
      </c>
    </row>
    <row r="382" spans="1:10">
      <c r="A382" t="s">
        <v>10</v>
      </c>
      <c r="B382" s="2">
        <v>1200</v>
      </c>
      <c r="C382" t="s">
        <v>24</v>
      </c>
      <c r="D382" t="s">
        <v>25</v>
      </c>
      <c r="E382" t="s">
        <v>186</v>
      </c>
      <c r="F382" t="s">
        <v>187</v>
      </c>
      <c r="G382" t="s">
        <v>49</v>
      </c>
      <c r="H382" s="3">
        <v>39825.982638888891</v>
      </c>
      <c r="I382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382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383" spans="1:10">
      <c r="A383" t="s">
        <v>10</v>
      </c>
      <c r="B383" s="2">
        <v>1200</v>
      </c>
      <c r="C383" t="s">
        <v>11</v>
      </c>
      <c r="D383" t="s">
        <v>231</v>
      </c>
      <c r="E383" t="s">
        <v>935</v>
      </c>
      <c r="F383" t="s">
        <v>18</v>
      </c>
      <c r="G383" t="s">
        <v>19</v>
      </c>
      <c r="H383" s="3">
        <v>39826.073611111111</v>
      </c>
      <c r="I383" t="str">
        <f ca="1">TEXT(TRUNC(55.7666667), "0" &amp; CHAR(176) &amp; " ") &amp; TEXT(INT((ABS(55.7666667)- INT(ABS(55.7666667)))*60), "0' ") &amp; TEXT(((((ABS(55.7666667)-INT(ABS(55.7666667)))*60)- INT((ABS(55.7666667) - INT(ABS(55.7666667)))*60))*60), " 0''")</f>
        <v>55°c c46  0</v>
      </c>
      <c r="J383" t="str">
        <f ca="1">TEXT(TRUNC(12.5166667), "0" &amp; CHAR(176) &amp; " ") &amp; TEXT(INT((ABS(12.5166667)- INT(ABS(12.5166667)))*60), "0' ") &amp; TEXT(((((ABS(12.5166667)-INT(ABS(12.5166667)))*60)- INT((ABS(12.5166667) - INT(ABS(12.5166667)))*60))*60), " 0''")</f>
        <v>12°c c31  0</v>
      </c>
    </row>
    <row r="384" spans="1:10">
      <c r="A384" t="s">
        <v>10</v>
      </c>
      <c r="B384" s="2">
        <v>1200</v>
      </c>
      <c r="C384" t="s">
        <v>24</v>
      </c>
      <c r="D384" t="s">
        <v>936</v>
      </c>
      <c r="E384" t="s">
        <v>937</v>
      </c>
      <c r="F384" t="s">
        <v>369</v>
      </c>
      <c r="G384" t="s">
        <v>370</v>
      </c>
      <c r="H384" s="3">
        <v>39826.07708333333</v>
      </c>
      <c r="I384" t="str">
        <f ca="1">TEXT(TRUNC(-25.8744444), "0" &amp; CHAR(176) &amp; " ") &amp; TEXT(INT((ABS(-25.8744444)- INT(ABS(-25.8744444)))*60), "0' ") &amp; TEXT(((((ABS(-25.8744444)-INT(ABS(-25.8744444)))*60)- INT((ABS(-25.8744444) - INT(ABS(-25.8744444)))*60))*60), " 0''")</f>
        <v>-25°c c52  28</v>
      </c>
      <c r="J384" t="str">
        <f ca="1">TEXT(TRUNC(28.1705556), "0" &amp; CHAR(176) &amp; " ") &amp; TEXT(INT((ABS(28.1705556)- INT(ABS(28.1705556)))*60), "0' ") &amp; TEXT(((((ABS(28.1705556)-INT(ABS(28.1705556)))*60)- INT((ABS(28.1705556) - INT(ABS(28.1705556)))*60))*60), " 0''")</f>
        <v>28°c c10  14</v>
      </c>
    </row>
    <row r="385" spans="1:10">
      <c r="A385" t="s">
        <v>10</v>
      </c>
      <c r="B385" s="2">
        <v>1200</v>
      </c>
      <c r="C385" t="s">
        <v>11</v>
      </c>
      <c r="D385" t="s">
        <v>938</v>
      </c>
      <c r="E385" t="s">
        <v>939</v>
      </c>
      <c r="F385" t="s">
        <v>940</v>
      </c>
      <c r="G385" t="s">
        <v>23</v>
      </c>
      <c r="H385" s="3">
        <v>39826.079861111109</v>
      </c>
      <c r="I385" t="str">
        <f ca="1">TEXT(TRUNC(49.5), "0" &amp; CHAR(176) &amp; " ") &amp; TEXT(INT((ABS(49.5)- INT(ABS(49.5)))*60), "0' ") &amp; TEXT(((((ABS(49.5)-INT(ABS(49.5)))*60)- INT((ABS(49.5) - INT(ABS(49.5)))*60))*60), " 0''")</f>
        <v>49°c c30  0</v>
      </c>
      <c r="J385" t="str">
        <f ca="1">TEXT(TRUNC(6.6), "0" &amp; CHAR(176) &amp; " ") &amp; TEXT(INT((ABS(6.6)- INT(ABS(6.6)))*60), "0' ") &amp; TEXT(((((ABS(6.6)-INT(ABS(6.6)))*60)- INT((ABS(6.6) - INT(ABS(6.6)))*60))*60), " 0''")</f>
        <v>6°c c36  0</v>
      </c>
    </row>
    <row r="386" spans="1:10">
      <c r="A386" t="s">
        <v>10</v>
      </c>
      <c r="B386" s="2">
        <v>1200</v>
      </c>
      <c r="C386" t="s">
        <v>24</v>
      </c>
      <c r="D386" t="s">
        <v>941</v>
      </c>
      <c r="E386" t="s">
        <v>942</v>
      </c>
      <c r="F386" t="s">
        <v>513</v>
      </c>
      <c r="G386" t="s">
        <v>65</v>
      </c>
      <c r="H386" s="3">
        <v>39826.115972222222</v>
      </c>
      <c r="I386" t="str">
        <f ca="1">TEXT(TRUNC(53.3005556), "0" &amp; CHAR(176) &amp; " ") &amp; TEXT(INT((ABS(53.3005556)- INT(ABS(53.3005556)))*60), "0' ") &amp; TEXT(((((ABS(53.3005556)-INT(ABS(53.3005556)))*60)- INT((ABS(53.3005556) - INT(ABS(53.3005556)))*60))*60), " 0''")</f>
        <v>53°c c18  2</v>
      </c>
      <c r="J386" t="str">
        <f ca="1">TEXT(TRUNC(-6.2827778), "0" &amp; CHAR(176) &amp; " ") &amp; TEXT(INT((ABS(-6.2827778)- INT(ABS(-6.2827778)))*60), "0' ") &amp; TEXT(((((ABS(-6.2827778)-INT(ABS(-6.2827778)))*60)- INT((ABS(-6.2827778) - INT(ABS(-6.2827778)))*60))*60), " 0''")</f>
        <v>-6°c c16  58</v>
      </c>
    </row>
    <row r="387" spans="1:10">
      <c r="A387" t="s">
        <v>10</v>
      </c>
      <c r="B387" s="2">
        <v>1200</v>
      </c>
      <c r="C387" t="s">
        <v>24</v>
      </c>
      <c r="D387" t="s">
        <v>943</v>
      </c>
      <c r="E387" t="s">
        <v>944</v>
      </c>
      <c r="F387" t="s">
        <v>578</v>
      </c>
      <c r="G387" t="s">
        <v>42</v>
      </c>
      <c r="H387" s="3">
        <v>39826.247916666667</v>
      </c>
      <c r="I387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387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388" spans="1:10">
      <c r="A388" t="s">
        <v>10</v>
      </c>
      <c r="B388" s="2">
        <v>1200</v>
      </c>
      <c r="C388" t="s">
        <v>11</v>
      </c>
      <c r="D388" t="s">
        <v>945</v>
      </c>
      <c r="E388" t="s">
        <v>946</v>
      </c>
      <c r="F388" t="s">
        <v>476</v>
      </c>
      <c r="G388" t="s">
        <v>15</v>
      </c>
      <c r="H388" s="3">
        <v>39826.248611111114</v>
      </c>
      <c r="I388" t="str">
        <f ca="1">TEXT(TRUNC(34.05139), "0" &amp; CHAR(176) &amp; " ") &amp; TEXT(INT((ABS(34.05139)- INT(ABS(34.05139)))*60), "0' ") &amp; TEXT(((((ABS(34.05139)-INT(ABS(34.05139)))*60)- INT((ABS(34.05139) - INT(ABS(34.05139)))*60))*60), " 0''")</f>
        <v>34°c c3  5</v>
      </c>
      <c r="J388" t="str">
        <f ca="1">TEXT(TRUNC(-84.07139), "0" &amp; CHAR(176) &amp; " ") &amp; TEXT(INT((ABS(-84.07139)- INT(ABS(-84.07139)))*60), "0' ") &amp; TEXT(((((ABS(-84.07139)-INT(ABS(-84.07139)))*60)- INT((ABS(-84.07139) - INT(ABS(-84.07139)))*60))*60), " 0''")</f>
        <v>-84°c c4  17</v>
      </c>
    </row>
    <row r="389" spans="1:10">
      <c r="A389" t="s">
        <v>10</v>
      </c>
      <c r="B389" s="2">
        <v>1200</v>
      </c>
      <c r="C389" t="s">
        <v>24</v>
      </c>
      <c r="D389" t="s">
        <v>947</v>
      </c>
      <c r="E389" t="s">
        <v>948</v>
      </c>
      <c r="F389" t="s">
        <v>14</v>
      </c>
      <c r="G389" t="s">
        <v>15</v>
      </c>
      <c r="H389" s="3">
        <v>39826.259027777778</v>
      </c>
      <c r="I389" t="str">
        <f ca="1">TEXT(TRUNC(40.63667), "0" &amp; CHAR(176) &amp; " ") &amp; TEXT(INT((ABS(40.63667)- INT(ABS(40.63667)))*60), "0' ") &amp; TEXT(((((ABS(40.63667)-INT(ABS(40.63667)))*60)- INT((ABS(40.63667) - INT(ABS(40.63667)))*60))*60), " 0''")</f>
        <v>40°c c38  12</v>
      </c>
      <c r="J389" t="str">
        <f ca="1">TEXT(TRUNC(-74.15917), "0" &amp; CHAR(176) &amp; " ") &amp; TEXT(INT((ABS(-74.15917)- INT(ABS(-74.15917)))*60), "0' ") &amp; TEXT(((((ABS(-74.15917)-INT(ABS(-74.15917)))*60)- INT((ABS(-74.15917) - INT(ABS(-74.15917)))*60))*60), " 0''")</f>
        <v>-74°c c9  33</v>
      </c>
    </row>
    <row r="390" spans="1:10">
      <c r="A390" t="s">
        <v>10</v>
      </c>
      <c r="B390" s="2">
        <v>1200</v>
      </c>
      <c r="C390" t="s">
        <v>11</v>
      </c>
      <c r="D390" t="s">
        <v>951</v>
      </c>
      <c r="E390" t="s">
        <v>952</v>
      </c>
      <c r="F390" t="s">
        <v>53</v>
      </c>
      <c r="G390" t="s">
        <v>54</v>
      </c>
      <c r="H390" s="3">
        <v>39826.347222222219</v>
      </c>
      <c r="I390" t="str">
        <f ca="1">TEXT(TRUNC(51.3), "0" &amp; CHAR(176) &amp; " ") &amp; TEXT(INT((ABS(51.3)- INT(ABS(51.3)))*60), "0' ") &amp; TEXT(((((ABS(51.3)-INT(ABS(51.3)))*60)- INT((ABS(51.3) - INT(ABS(51.3)))*60))*60), " 0''")</f>
        <v>51°c c17  60</v>
      </c>
      <c r="J390" t="str">
        <f ca="1">TEXT(TRUNC(-0.05), "0" &amp; CHAR(176) &amp; " ") &amp; TEXT(INT((ABS(-0.05)- INT(ABS(-0.05)))*60), "0' ") &amp; TEXT(((((ABS(-0.05)-INT(ABS(-0.05)))*60)- INT((ABS(-0.05) - INT(ABS(-0.05)))*60))*60), " 0''")</f>
        <v>0°c c3  0</v>
      </c>
    </row>
    <row r="391" spans="1:10">
      <c r="A391" t="s">
        <v>10</v>
      </c>
      <c r="B391" s="2">
        <v>1200</v>
      </c>
      <c r="C391" t="s">
        <v>24</v>
      </c>
      <c r="D391" t="s">
        <v>953</v>
      </c>
      <c r="E391" t="s">
        <v>954</v>
      </c>
      <c r="F391" t="s">
        <v>465</v>
      </c>
      <c r="G391" t="s">
        <v>85</v>
      </c>
      <c r="H391" s="3">
        <v>39826.384722222225</v>
      </c>
      <c r="I391" t="str">
        <f ca="1">TEXT(TRUNC(60.6333333), "0" &amp; CHAR(176) &amp; " ") &amp; TEXT(INT((ABS(60.6333333)- INT(ABS(60.6333333)))*60), "0' ") &amp; TEXT(((((ABS(60.6333333)-INT(ABS(60.6333333)))*60)- INT((ABS(60.6333333) - INT(ABS(60.6333333)))*60))*60), " 0''")</f>
        <v>60°c c37  60</v>
      </c>
      <c r="J391" t="str">
        <f ca="1">TEXT(TRUNC(6.4333333), "0" &amp; CHAR(176) &amp; " ") &amp; TEXT(INT((ABS(6.4333333)- INT(ABS(6.4333333)))*60), "0' ") &amp; TEXT(((((ABS(6.4333333)-INT(ABS(6.4333333)))*60)- INT((ABS(6.4333333) - INT(ABS(6.4333333)))*60))*60), " 0''")</f>
        <v>6°c c25  60</v>
      </c>
    </row>
    <row r="392" spans="1:10">
      <c r="A392" t="s">
        <v>10</v>
      </c>
      <c r="B392" s="2">
        <v>1200</v>
      </c>
      <c r="C392" t="s">
        <v>24</v>
      </c>
      <c r="D392" t="s">
        <v>955</v>
      </c>
      <c r="E392" t="s">
        <v>956</v>
      </c>
      <c r="F392" t="s">
        <v>197</v>
      </c>
      <c r="G392" t="s">
        <v>15</v>
      </c>
      <c r="H392" s="3">
        <v>39826.386111111111</v>
      </c>
      <c r="I392" t="str">
        <f ca="1">TEXT(TRUNC(36.16583), "0" &amp; CHAR(176) &amp; " ") &amp; TEXT(INT((ABS(36.16583)- INT(ABS(36.16583)))*60), "0' ") &amp; TEXT(((((ABS(36.16583)-INT(ABS(36.16583)))*60)- INT((ABS(36.16583) - INT(ABS(36.16583)))*60))*60), " 0''")</f>
        <v>36°c c9  57</v>
      </c>
      <c r="J392" t="str">
        <f ca="1">TEXT(TRUNC(-86.78444), "0" &amp; CHAR(176) &amp; " ") &amp; TEXT(INT((ABS(-86.78444)- INT(ABS(-86.78444)))*60), "0' ") &amp; TEXT(((((ABS(-86.78444)-INT(ABS(-86.78444)))*60)- INT((ABS(-86.78444) - INT(ABS(-86.78444)))*60))*60), " 0''")</f>
        <v>-86°c c47  4</v>
      </c>
    </row>
    <row r="393" spans="1:10">
      <c r="A393" t="s">
        <v>10</v>
      </c>
      <c r="B393" s="2">
        <v>1200</v>
      </c>
      <c r="C393" t="s">
        <v>24</v>
      </c>
      <c r="D393" t="s">
        <v>957</v>
      </c>
      <c r="E393" t="s">
        <v>958</v>
      </c>
      <c r="F393" t="s">
        <v>388</v>
      </c>
      <c r="G393" t="s">
        <v>75</v>
      </c>
      <c r="H393" s="3">
        <v>39826.393055555556</v>
      </c>
      <c r="I393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393" t="str">
        <f ca="1">TEXT(TRUNC(6.2166667), "0" &amp; CHAR(176) &amp; " ") &amp; TEXT(INT((ABS(6.2166667)- INT(ABS(6.2166667)))*60), "0' ") &amp; TEXT(((((ABS(6.2166667)-INT(ABS(6.2166667)))*60)- INT((ABS(6.2166667) - INT(ABS(6.2166667)))*60))*60), " 0''")</f>
        <v>6°c c13  0</v>
      </c>
    </row>
    <row r="394" spans="1:10">
      <c r="A394" t="s">
        <v>10</v>
      </c>
      <c r="B394" s="2">
        <v>1200</v>
      </c>
      <c r="C394" t="s">
        <v>24</v>
      </c>
      <c r="D394" t="s">
        <v>366</v>
      </c>
      <c r="E394" t="s">
        <v>959</v>
      </c>
      <c r="F394" t="s">
        <v>190</v>
      </c>
      <c r="G394" t="s">
        <v>15</v>
      </c>
      <c r="H394" s="3">
        <v>39826.402777777781</v>
      </c>
      <c r="I394" t="str">
        <f ca="1">TEXT(TRUNC(41.865), "0" &amp; CHAR(176) &amp; " ") &amp; TEXT(INT((ABS(41.865)- INT(ABS(41.865)))*60), "0' ") &amp; TEXT(((((ABS(41.865)-INT(ABS(41.865)))*60)- INT((ABS(41.865) - INT(ABS(41.865)))*60))*60), " 0''")</f>
        <v>41°c c51  54</v>
      </c>
      <c r="J394" t="str">
        <f ca="1">TEXT(TRUNC(-69.99167), "0" &amp; CHAR(176) &amp; " ") &amp; TEXT(INT((ABS(-69.99167)- INT(ABS(-69.99167)))*60), "0' ") &amp; TEXT(((((ABS(-69.99167)-INT(ABS(-69.99167)))*60)- INT((ABS(-69.99167) - INT(ABS(-69.99167)))*60))*60), " 0''")</f>
        <v>-69°c c59  30</v>
      </c>
    </row>
    <row r="395" spans="1:10">
      <c r="A395" t="s">
        <v>10</v>
      </c>
      <c r="B395" s="2">
        <v>1200</v>
      </c>
      <c r="C395" t="s">
        <v>11</v>
      </c>
      <c r="D395" t="s">
        <v>960</v>
      </c>
      <c r="E395" t="s">
        <v>100</v>
      </c>
      <c r="F395" t="s">
        <v>80</v>
      </c>
      <c r="G395" t="s">
        <v>81</v>
      </c>
      <c r="H395" s="3">
        <v>39826.410416666666</v>
      </c>
      <c r="I395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395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396" spans="1:10">
      <c r="A396" t="s">
        <v>10</v>
      </c>
      <c r="B396" s="2">
        <v>1200</v>
      </c>
      <c r="C396" t="s">
        <v>24</v>
      </c>
      <c r="D396" t="s">
        <v>331</v>
      </c>
      <c r="E396" t="s">
        <v>961</v>
      </c>
      <c r="F396" t="s">
        <v>152</v>
      </c>
      <c r="G396" t="s">
        <v>15</v>
      </c>
      <c r="H396" s="3">
        <v>39826.476388888892</v>
      </c>
      <c r="I396" t="str">
        <f ca="1">TEXT(TRUNC(37.61917), "0" &amp; CHAR(176) &amp; " ") &amp; TEXT(INT((ABS(37.61917)- INT(ABS(37.61917)))*60), "0' ") &amp; TEXT(((((ABS(37.61917)-INT(ABS(37.61917)))*60)- INT((ABS(37.61917) - INT(ABS(37.61917)))*60))*60), " 0''")</f>
        <v>37°c c37  9</v>
      </c>
      <c r="J396" t="str">
        <f ca="1">TEXT(TRUNC(-75.76417), "0" &amp; CHAR(176) &amp; " ") &amp; TEXT(INT((ABS(-75.76417)- INT(ABS(-75.76417)))*60), "0' ") &amp; TEXT(((((ABS(-75.76417)-INT(ABS(-75.76417)))*60)- INT((ABS(-75.76417) - INT(ABS(-75.76417)))*60))*60), " 0''")</f>
        <v>-75°c c45  51</v>
      </c>
    </row>
    <row r="397" spans="1:10">
      <c r="A397" t="s">
        <v>10</v>
      </c>
      <c r="B397" s="2">
        <v>1200</v>
      </c>
      <c r="C397" t="s">
        <v>24</v>
      </c>
      <c r="D397" t="s">
        <v>962</v>
      </c>
      <c r="E397" t="s">
        <v>963</v>
      </c>
      <c r="F397" t="s">
        <v>53</v>
      </c>
      <c r="G397" t="s">
        <v>54</v>
      </c>
      <c r="H397" s="3">
        <v>39826.479861111111</v>
      </c>
      <c r="I397" t="str">
        <f ca="1">TEXT(TRUNC(50.8), "0" &amp; CHAR(176) &amp; " ") &amp; TEXT(INT((ABS(50.8)- INT(ABS(50.8)))*60), "0' ") &amp; TEXT(((((ABS(50.8)-INT(ABS(50.8)))*60)- INT((ABS(50.8) - INT(ABS(50.8)))*60))*60), " 0''")</f>
        <v>50°c c47  60</v>
      </c>
      <c r="J397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398" spans="1:10">
      <c r="A398" t="s">
        <v>10</v>
      </c>
      <c r="B398" s="2">
        <v>1200</v>
      </c>
      <c r="C398" t="s">
        <v>24</v>
      </c>
      <c r="D398" t="s">
        <v>964</v>
      </c>
      <c r="E398" t="s">
        <v>965</v>
      </c>
      <c r="F398" t="s">
        <v>90</v>
      </c>
      <c r="G398" t="s">
        <v>15</v>
      </c>
      <c r="H398" s="3">
        <v>39826.495833333334</v>
      </c>
      <c r="I398" t="str">
        <f ca="1">TEXT(TRUNC(39.2725), "0" &amp; CHAR(176) &amp; " ") &amp; TEXT(INT((ABS(39.2725)- INT(ABS(39.2725)))*60), "0' ") &amp; TEXT(((((ABS(39.2725)-INT(ABS(39.2725)))*60)- INT((ABS(39.2725) - INT(ABS(39.2725)))*60))*60), " 0''")</f>
        <v>39°c c16  21</v>
      </c>
      <c r="J398" t="str">
        <f ca="1">TEXT(TRUNC(-76.53167), "0" &amp; CHAR(176) &amp; " ") &amp; TEXT(INT((ABS(-76.53167)- INT(ABS(-76.53167)))*60), "0' ") &amp; TEXT(((((ABS(-76.53167)-INT(ABS(-76.53167)))*60)- INT((ABS(-76.53167) - INT(ABS(-76.53167)))*60))*60), " 0''")</f>
        <v>-76°c c31  54</v>
      </c>
    </row>
    <row r="399" spans="1:10">
      <c r="A399" t="s">
        <v>10</v>
      </c>
      <c r="B399" s="2">
        <v>1200</v>
      </c>
      <c r="C399" t="s">
        <v>50</v>
      </c>
      <c r="D399" t="s">
        <v>618</v>
      </c>
      <c r="E399" t="s">
        <v>303</v>
      </c>
      <c r="F399" t="s">
        <v>304</v>
      </c>
      <c r="G399" t="s">
        <v>81</v>
      </c>
      <c r="H399" s="3">
        <v>39826.49722222222</v>
      </c>
      <c r="I399" t="str">
        <f ca="1">TEXT(TRUNC(45.5), "0" &amp; CHAR(176) &amp; " ") &amp; TEXT(INT((ABS(45.5)- INT(ABS(45.5)))*60), "0' ") &amp; TEXT(((((ABS(45.5)-INT(ABS(45.5)))*60)- INT((ABS(45.5) - INT(ABS(45.5)))*60))*60), " 0''")</f>
        <v>45°c c30  0</v>
      </c>
      <c r="J399" t="str">
        <f ca="1">TEXT(TRUNC(-73.5833333), "0" &amp; CHAR(176) &amp; " ") &amp; TEXT(INT((ABS(-73.5833333)- INT(ABS(-73.5833333)))*60), "0' ") &amp; TEXT(((((ABS(-73.5833333)-INT(ABS(-73.5833333)))*60)- INT((ABS(-73.5833333) - INT(ABS(-73.5833333)))*60))*60), " 0''")</f>
        <v>-73°c c34  60</v>
      </c>
    </row>
    <row r="400" spans="1:10">
      <c r="A400" t="s">
        <v>10</v>
      </c>
      <c r="B400" s="2">
        <v>1200</v>
      </c>
      <c r="C400" t="s">
        <v>24</v>
      </c>
      <c r="D400" t="s">
        <v>966</v>
      </c>
      <c r="E400" t="s">
        <v>967</v>
      </c>
      <c r="F400" t="s">
        <v>18</v>
      </c>
      <c r="G400" t="s">
        <v>19</v>
      </c>
      <c r="H400" s="3">
        <v>39826.535416666666</v>
      </c>
      <c r="I400" t="str">
        <f ca="1">TEXT(TRUNC(55.75), "0" &amp; CHAR(176) &amp; " ") &amp; TEXT(INT((ABS(55.75)- INT(ABS(55.75)))*60), "0' ") &amp; TEXT(((((ABS(55.75)-INT(ABS(55.75)))*60)- INT((ABS(55.75) - INT(ABS(55.75)))*60))*60), " 0''")</f>
        <v>55°c c45  0</v>
      </c>
      <c r="J400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401" spans="1:10">
      <c r="A401" t="s">
        <v>10</v>
      </c>
      <c r="B401" s="2">
        <v>1200</v>
      </c>
      <c r="C401" t="s">
        <v>24</v>
      </c>
      <c r="D401" t="s">
        <v>968</v>
      </c>
      <c r="E401" t="s">
        <v>118</v>
      </c>
      <c r="F401" t="s">
        <v>53</v>
      </c>
      <c r="G401" t="s">
        <v>54</v>
      </c>
      <c r="H401" s="3">
        <v>39826.566666666666</v>
      </c>
      <c r="I401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401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402" spans="1:10">
      <c r="A402" t="s">
        <v>10</v>
      </c>
      <c r="B402" s="2">
        <v>1200</v>
      </c>
      <c r="C402" t="s">
        <v>24</v>
      </c>
      <c r="D402" t="s">
        <v>969</v>
      </c>
      <c r="E402" t="s">
        <v>970</v>
      </c>
      <c r="F402" t="s">
        <v>971</v>
      </c>
      <c r="G402" t="s">
        <v>65</v>
      </c>
      <c r="H402" s="3">
        <v>39826.575694444444</v>
      </c>
      <c r="I402" t="str">
        <f ca="1">TEXT(TRUNC(53.85), "0" &amp; CHAR(176) &amp; " ") &amp; TEXT(INT((ABS(53.85)- INT(ABS(53.85)))*60), "0' ") &amp; TEXT(((((ABS(53.85)-INT(ABS(53.85)))*60)- INT((ABS(53.85) - INT(ABS(53.85)))*60))*60), " 0''")</f>
        <v>53°c c51  0</v>
      </c>
      <c r="J402" t="str">
        <f ca="1">TEXT(TRUNC(-9.3), "0" &amp; CHAR(176) &amp; " ") &amp; TEXT(INT((ABS(-9.3)- INT(ABS(-9.3)))*60), "0' ") &amp; TEXT(((((ABS(-9.3)-INT(ABS(-9.3)))*60)- INT((ABS(-9.3) - INT(ABS(-9.3)))*60))*60), " 0''")</f>
        <v>-9°c c18  0</v>
      </c>
    </row>
    <row r="403" spans="1:10">
      <c r="A403" t="s">
        <v>10</v>
      </c>
      <c r="B403" s="2">
        <v>1200</v>
      </c>
      <c r="C403" t="s">
        <v>33</v>
      </c>
      <c r="D403" t="s">
        <v>972</v>
      </c>
      <c r="E403" t="s">
        <v>973</v>
      </c>
      <c r="F403" t="s">
        <v>974</v>
      </c>
      <c r="G403" t="s">
        <v>159</v>
      </c>
      <c r="H403" s="3">
        <v>39826.586805555555</v>
      </c>
      <c r="I403" t="str">
        <f ca="1">TEXT(TRUNC(41.3833333), "0" &amp; CHAR(176) &amp; " ") &amp; TEXT(INT((ABS(41.3833333)- INT(ABS(41.3833333)))*60), "0' ") &amp; TEXT(((((ABS(41.3833333)-INT(ABS(41.3833333)))*60)- INT((ABS(41.3833333) - INT(ABS(41.3833333)))*60))*60), " 0''")</f>
        <v>41°c c22  60</v>
      </c>
      <c r="J403" t="str">
        <f ca="1">TEXT(TRUNC(2.1833333), "0" &amp; CHAR(176) &amp; " ") &amp; TEXT(INT((ABS(2.1833333)- INT(ABS(2.1833333)))*60), "0' ") &amp; TEXT(((((ABS(2.1833333)-INT(ABS(2.1833333)))*60)- INT((ABS(2.1833333) - INT(ABS(2.1833333)))*60))*60), " 0''")</f>
        <v>2°c c10  60</v>
      </c>
    </row>
    <row r="404" spans="1:10">
      <c r="A404" t="s">
        <v>10</v>
      </c>
      <c r="B404" s="2">
        <v>1200</v>
      </c>
      <c r="C404" t="s">
        <v>24</v>
      </c>
      <c r="D404" t="s">
        <v>976</v>
      </c>
      <c r="E404" t="s">
        <v>977</v>
      </c>
      <c r="F404" t="s">
        <v>14</v>
      </c>
      <c r="G404" t="s">
        <v>15</v>
      </c>
      <c r="H404" s="3">
        <v>39826.620138888888</v>
      </c>
      <c r="I404" t="str">
        <f ca="1">TEXT(TRUNC(42.68361), "0" &amp; CHAR(176) &amp; " ") &amp; TEXT(INT((ABS(42.68361)- INT(ABS(42.68361)))*60), "0' ") &amp; TEXT(((((ABS(42.68361)-INT(ABS(42.68361)))*60)- INT((ABS(42.68361) - INT(ABS(42.68361)))*60))*60), " 0''")</f>
        <v>42°c c41  1</v>
      </c>
      <c r="J404" t="str">
        <f ca="1">TEXT(TRUNC(-78.33806), "0" &amp; CHAR(176) &amp; " ") &amp; TEXT(INT((ABS(-78.33806)- INT(ABS(-78.33806)))*60), "0' ") &amp; TEXT(((((ABS(-78.33806)-INT(ABS(-78.33806)))*60)- INT((ABS(-78.33806) - INT(ABS(-78.33806)))*60))*60), " 0''")</f>
        <v>-78°c c20  17</v>
      </c>
    </row>
    <row r="405" spans="1:10">
      <c r="A405" t="s">
        <v>10</v>
      </c>
      <c r="B405" s="2">
        <v>1200</v>
      </c>
      <c r="C405" t="s">
        <v>33</v>
      </c>
      <c r="D405" t="s">
        <v>978</v>
      </c>
      <c r="E405" t="s">
        <v>979</v>
      </c>
      <c r="F405" t="s">
        <v>14</v>
      </c>
      <c r="G405" t="s">
        <v>15</v>
      </c>
      <c r="H405" s="3">
        <v>39826.6375</v>
      </c>
      <c r="I405" t="str">
        <f ca="1">TEXT(TRUNC(40.88528), "0" &amp; CHAR(176) &amp; " ") &amp; TEXT(INT((ABS(40.88528)- INT(ABS(40.88528)))*60), "0' ") &amp; TEXT(((((ABS(40.88528)-INT(ABS(40.88528)))*60)- INT((ABS(40.88528) - INT(ABS(40.88528)))*60))*60), " 0''")</f>
        <v>40°c c53  7</v>
      </c>
      <c r="J405" t="str">
        <f ca="1">TEXT(TRUNC(-73.37667), "0" &amp; CHAR(176) &amp; " ") &amp; TEXT(INT((ABS(-73.37667)- INT(ABS(-73.37667)))*60), "0' ") &amp; TEXT(((((ABS(-73.37667)-INT(ABS(-73.37667)))*60)- INT((ABS(-73.37667) - INT(ABS(-73.37667)))*60))*60), " 0''")</f>
        <v>-73°c c22  36</v>
      </c>
    </row>
    <row r="406" spans="1:10">
      <c r="A406" t="s">
        <v>10</v>
      </c>
      <c r="B406" s="2">
        <v>1200</v>
      </c>
      <c r="C406" t="s">
        <v>33</v>
      </c>
      <c r="D406" t="s">
        <v>430</v>
      </c>
      <c r="E406" t="s">
        <v>285</v>
      </c>
      <c r="F406" t="s">
        <v>27</v>
      </c>
      <c r="G406" t="s">
        <v>15</v>
      </c>
      <c r="H406" s="3">
        <v>39826.755555555559</v>
      </c>
      <c r="I406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406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407" spans="1:10">
      <c r="A407" t="s">
        <v>10</v>
      </c>
      <c r="B407" s="2">
        <v>1200</v>
      </c>
      <c r="C407" t="s">
        <v>24</v>
      </c>
      <c r="D407" t="s">
        <v>981</v>
      </c>
      <c r="E407" t="s">
        <v>612</v>
      </c>
      <c r="F407" t="s">
        <v>259</v>
      </c>
      <c r="G407" t="s">
        <v>15</v>
      </c>
      <c r="H407" s="3">
        <v>39826.81875</v>
      </c>
      <c r="I407" t="str">
        <f ca="1">TEXT(TRUNC(39.64778), "0" &amp; CHAR(176) &amp; " ") &amp; TEXT(INT((ABS(39.64778)- INT(ABS(39.64778)))*60), "0' ") &amp; TEXT(((((ABS(39.64778)-INT(ABS(39.64778)))*60)- INT((ABS(39.64778) - INT(ABS(39.64778)))*60))*60), " 0''")</f>
        <v>39°c c38  52</v>
      </c>
      <c r="J407" t="str">
        <f ca="1">TEXT(TRUNC(-104.98722), "0" &amp; CHAR(176) &amp; " ") &amp; TEXT(INT((ABS(-104.98722)- INT(ABS(-104.98722)))*60), "0' ") &amp; TEXT(((((ABS(-104.98722)-INT(ABS(-104.98722)))*60)- INT((ABS(-104.98722) - INT(ABS(-104.98722)))*60))*60), " 0''")</f>
        <v>-104°c c59  14</v>
      </c>
    </row>
    <row r="408" spans="1:10">
      <c r="A408" t="s">
        <v>10</v>
      </c>
      <c r="B408" s="2">
        <v>1200</v>
      </c>
      <c r="C408" t="s">
        <v>50</v>
      </c>
      <c r="D408" t="s">
        <v>982</v>
      </c>
      <c r="E408" t="s">
        <v>983</v>
      </c>
      <c r="F408" t="s">
        <v>179</v>
      </c>
      <c r="G408" t="s">
        <v>15</v>
      </c>
      <c r="H408" s="3">
        <v>39826.82916666667</v>
      </c>
      <c r="I408" t="str">
        <f ca="1">TEXT(TRUNC(40.70694), "0" &amp; CHAR(176) &amp; " ") &amp; TEXT(INT((ABS(40.70694)- INT(ABS(40.70694)))*60), "0' ") &amp; TEXT(((((ABS(40.70694)-INT(ABS(40.70694)))*60)- INT((ABS(40.70694) - INT(ABS(40.70694)))*60))*60), " 0''")</f>
        <v>40°c c42  25</v>
      </c>
      <c r="J408" t="str">
        <f ca="1">TEXT(TRUNC(-74.95639), "0" &amp; CHAR(176) &amp; " ") &amp; TEXT(INT((ABS(-74.95639)- INT(ABS(-74.95639)))*60), "0' ") &amp; TEXT(((((ABS(-74.95639)-INT(ABS(-74.95639)))*60)- INT((ABS(-74.95639) - INT(ABS(-74.95639)))*60))*60), " 0''")</f>
        <v>-74°c c57  23</v>
      </c>
    </row>
    <row r="409" spans="1:10">
      <c r="A409" t="s">
        <v>10</v>
      </c>
      <c r="B409" s="2">
        <v>1200</v>
      </c>
      <c r="C409" t="s">
        <v>24</v>
      </c>
      <c r="D409" t="s">
        <v>114</v>
      </c>
      <c r="E409" t="s">
        <v>746</v>
      </c>
      <c r="F409" t="s">
        <v>252</v>
      </c>
      <c r="G409" t="s">
        <v>81</v>
      </c>
      <c r="H409" s="3">
        <v>39826.848611111112</v>
      </c>
      <c r="I409" t="str">
        <f ca="1">TEXT(TRUNC(49.9), "0" &amp; CHAR(176) &amp; " ") &amp; TEXT(INT((ABS(49.9)- INT(ABS(49.9)))*60), "0' ") &amp; TEXT(((((ABS(49.9)-INT(ABS(49.9)))*60)- INT((ABS(49.9) - INT(ABS(49.9)))*60))*60), " 0''")</f>
        <v>49°c c53  60</v>
      </c>
      <c r="J409" t="str">
        <f ca="1">TEXT(TRUNC(-119.4833333), "0" &amp; CHAR(176) &amp; " ") &amp; TEXT(INT((ABS(-119.4833333)- INT(ABS(-119.4833333)))*60), "0' ") &amp; TEXT(((((ABS(-119.4833333)-INT(ABS(-119.4833333)))*60)- INT((ABS(-119.4833333) - INT(ABS(-119.4833333)))*60))*60), " 0''")</f>
        <v>-119°c c28  60</v>
      </c>
    </row>
    <row r="410" spans="1:10">
      <c r="A410" t="s">
        <v>10</v>
      </c>
      <c r="B410" s="2">
        <v>1200</v>
      </c>
      <c r="C410" t="s">
        <v>11</v>
      </c>
      <c r="D410" t="s">
        <v>156</v>
      </c>
      <c r="E410" t="s">
        <v>984</v>
      </c>
      <c r="F410" t="s">
        <v>985</v>
      </c>
      <c r="G410" t="s">
        <v>81</v>
      </c>
      <c r="H410" s="3">
        <v>39826.874305555553</v>
      </c>
      <c r="I410" t="str">
        <f ca="1">TEXT(TRUNC(49.8833333), "0" &amp; CHAR(176) &amp; " ") &amp; TEXT(INT((ABS(49.8833333)- INT(ABS(49.8833333)))*60), "0' ") &amp; TEXT(((((ABS(49.8833333)-INT(ABS(49.8833333)))*60)- INT((ABS(49.8833333) - INT(ABS(49.8833333)))*60))*60), " 0''")</f>
        <v>49°c c52  60</v>
      </c>
      <c r="J410" t="str">
        <f ca="1">TEXT(TRUNC(-97.1666667), "0" &amp; CHAR(176) &amp; " ") &amp; TEXT(INT((ABS(-97.1666667)- INT(ABS(-97.1666667)))*60), "0' ") &amp; TEXT(((((ABS(-97.1666667)-INT(ABS(-97.1666667)))*60)- INT((ABS(-97.1666667) - INT(ABS(-97.1666667)))*60))*60), " 0''")</f>
        <v>-97°c c10  0</v>
      </c>
    </row>
    <row r="411" spans="1:10">
      <c r="A411" t="s">
        <v>10</v>
      </c>
      <c r="B411" s="2">
        <v>1200</v>
      </c>
      <c r="C411" t="s">
        <v>11</v>
      </c>
      <c r="D411" t="s">
        <v>986</v>
      </c>
      <c r="E411" t="s">
        <v>987</v>
      </c>
      <c r="F411" t="s">
        <v>45</v>
      </c>
      <c r="G411" t="s">
        <v>15</v>
      </c>
      <c r="H411" s="3">
        <v>39826.99722222222</v>
      </c>
      <c r="I411" t="str">
        <f ca="1">TEXT(TRUNC(25.72111), "0" &amp; CHAR(176) &amp; " ") &amp; TEXT(INT((ABS(25.72111)- INT(ABS(25.72111)))*60), "0' ") &amp; TEXT(((((ABS(25.72111)-INT(ABS(25.72111)))*60)- INT((ABS(25.72111) - INT(ABS(25.72111)))*60))*60), " 0''")</f>
        <v>25°c c43  16</v>
      </c>
      <c r="J411" t="str">
        <f ca="1">TEXT(TRUNC(-80.26861), "0" &amp; CHAR(176) &amp; " ") &amp; TEXT(INT((ABS(-80.26861)- INT(ABS(-80.26861)))*60), "0' ") &amp; TEXT(((((ABS(-80.26861)-INT(ABS(-80.26861)))*60)- INT((ABS(-80.26861) - INT(ABS(-80.26861)))*60))*60), " 0''")</f>
        <v>-80°c c16  7</v>
      </c>
    </row>
    <row r="412" spans="1:10">
      <c r="A412" t="s">
        <v>10</v>
      </c>
      <c r="B412" s="2">
        <v>1200</v>
      </c>
      <c r="C412" t="s">
        <v>11</v>
      </c>
      <c r="D412" t="s">
        <v>485</v>
      </c>
      <c r="E412" t="s">
        <v>213</v>
      </c>
      <c r="F412" t="s">
        <v>53</v>
      </c>
      <c r="G412" t="s">
        <v>54</v>
      </c>
      <c r="H412" s="3">
        <v>39827.061111111114</v>
      </c>
      <c r="I412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412" t="str">
        <f ca="1">TEXT(TRUNC(-0.7), "0" &amp; CHAR(176) &amp; " ") &amp; TEXT(INT((ABS(-0.7)- INT(ABS(-0.7)))*60), "0' ") &amp; TEXT(((((ABS(-0.7)-INT(ABS(-0.7)))*60)- INT((ABS(-0.7) - INT(ABS(-0.7)))*60))*60), " 0''")</f>
        <v>0°c c42  0</v>
      </c>
    </row>
    <row r="413" spans="1:10">
      <c r="A413" t="s">
        <v>10</v>
      </c>
      <c r="B413" s="2">
        <v>1200</v>
      </c>
      <c r="C413" t="s">
        <v>11</v>
      </c>
      <c r="D413" t="s">
        <v>788</v>
      </c>
      <c r="E413" t="s">
        <v>991</v>
      </c>
      <c r="F413" t="s">
        <v>130</v>
      </c>
      <c r="G413" t="s">
        <v>54</v>
      </c>
      <c r="H413" s="3">
        <v>39827.13125</v>
      </c>
      <c r="I413" t="str">
        <f ca="1">TEXT(TRUNC(56.3333333), "0" &amp; CHAR(176) &amp; " ") &amp; TEXT(INT((ABS(56.3333333)- INT(ABS(56.3333333)))*60), "0' ") &amp; TEXT(((((ABS(56.3333333)-INT(ABS(56.3333333)))*60)- INT((ABS(56.3333333) - INT(ABS(56.3333333)))*60))*60), " 0''")</f>
        <v>56°c c19  60</v>
      </c>
      <c r="J413" t="str">
        <f ca="1">TEXT(TRUNC(-3.25), "0" &amp; CHAR(176) &amp; " ") &amp; TEXT(INT((ABS(-3.25)- INT(ABS(-3.25)))*60), "0' ") &amp; TEXT(((((ABS(-3.25)-INT(ABS(-3.25)))*60)- INT((ABS(-3.25) - INT(ABS(-3.25)))*60))*60), " 0''")</f>
        <v>-3°c c15  0</v>
      </c>
    </row>
    <row r="414" spans="1:10">
      <c r="A414" t="s">
        <v>10</v>
      </c>
      <c r="B414" s="2">
        <v>1200</v>
      </c>
      <c r="C414" t="s">
        <v>24</v>
      </c>
      <c r="D414" t="s">
        <v>992</v>
      </c>
      <c r="E414" t="s">
        <v>993</v>
      </c>
      <c r="F414" t="s">
        <v>64</v>
      </c>
      <c r="G414" t="s">
        <v>65</v>
      </c>
      <c r="H414" s="3">
        <v>39827.152083333334</v>
      </c>
      <c r="I414" t="str">
        <f ca="1">TEXT(TRUNC(51.8833333), "0" &amp; CHAR(176) &amp; " ") &amp; TEXT(INT((ABS(51.8833333)- INT(ABS(51.8833333)))*60), "0' ") &amp; TEXT(((((ABS(51.8833333)-INT(ABS(51.8833333)))*60)- INT((ABS(51.8833333) - INT(ABS(51.8833333)))*60))*60), " 0''")</f>
        <v>51°c c52  60</v>
      </c>
      <c r="J414" t="str">
        <f ca="1">TEXT(TRUNC(-8.5833333), "0" &amp; CHAR(176) &amp; " ") &amp; TEXT(INT((ABS(-8.5833333)- INT(ABS(-8.5833333)))*60), "0' ") &amp; TEXT(((((ABS(-8.5833333)-INT(ABS(-8.5833333)))*60)- INT((ABS(-8.5833333) - INT(ABS(-8.5833333)))*60))*60), " 0''")</f>
        <v>-8°c c34  60</v>
      </c>
    </row>
    <row r="415" spans="1:10">
      <c r="A415" t="s">
        <v>10</v>
      </c>
      <c r="B415" s="2">
        <v>1200</v>
      </c>
      <c r="C415" t="s">
        <v>24</v>
      </c>
      <c r="D415" t="s">
        <v>994</v>
      </c>
      <c r="E415" t="s">
        <v>993</v>
      </c>
      <c r="F415" t="s">
        <v>64</v>
      </c>
      <c r="G415" t="s">
        <v>65</v>
      </c>
      <c r="H415" s="3">
        <v>39827.157638888886</v>
      </c>
      <c r="I415" t="str">
        <f ca="1">TEXT(TRUNC(51.8833333), "0" &amp; CHAR(176) &amp; " ") &amp; TEXT(INT((ABS(51.8833333)- INT(ABS(51.8833333)))*60), "0' ") &amp; TEXT(((((ABS(51.8833333)-INT(ABS(51.8833333)))*60)- INT((ABS(51.8833333) - INT(ABS(51.8833333)))*60))*60), " 0''")</f>
        <v>51°c c52  60</v>
      </c>
      <c r="J415" t="str">
        <f ca="1">TEXT(TRUNC(-8.5833333), "0" &amp; CHAR(176) &amp; " ") &amp; TEXT(INT((ABS(-8.5833333)- INT(ABS(-8.5833333)))*60), "0' ") &amp; TEXT(((((ABS(-8.5833333)-INT(ABS(-8.5833333)))*60)- INT((ABS(-8.5833333) - INT(ABS(-8.5833333)))*60))*60), " 0''")</f>
        <v>-8°c c34  60</v>
      </c>
    </row>
    <row r="416" spans="1:10">
      <c r="A416" t="s">
        <v>10</v>
      </c>
      <c r="B416" s="2">
        <v>1200</v>
      </c>
      <c r="C416" t="s">
        <v>11</v>
      </c>
      <c r="D416" t="s">
        <v>995</v>
      </c>
      <c r="E416" t="s">
        <v>996</v>
      </c>
      <c r="F416" t="s">
        <v>391</v>
      </c>
      <c r="G416" t="s">
        <v>15</v>
      </c>
      <c r="H416" s="3">
        <v>39827.20416666667</v>
      </c>
      <c r="I416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416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417" spans="1:10">
      <c r="A417" t="s">
        <v>10</v>
      </c>
      <c r="B417" s="2">
        <v>1200</v>
      </c>
      <c r="C417" t="s">
        <v>24</v>
      </c>
      <c r="D417" t="s">
        <v>999</v>
      </c>
      <c r="E417" t="s">
        <v>1000</v>
      </c>
      <c r="F417" t="s">
        <v>152</v>
      </c>
      <c r="G417" t="s">
        <v>15</v>
      </c>
      <c r="H417" s="3">
        <v>39827.272222222222</v>
      </c>
      <c r="I417" t="str">
        <f ca="1">TEXT(TRUNC(39.04361), "0" &amp; CHAR(176) &amp; " ") &amp; TEXT(INT((ABS(39.04361)- INT(ABS(39.04361)))*60), "0' ") &amp; TEXT(((((ABS(39.04361)-INT(ABS(39.04361)))*60)- INT((ABS(39.04361) - INT(ABS(39.04361)))*60))*60), " 0''")</f>
        <v>39°c c2  37</v>
      </c>
      <c r="J417" t="str">
        <f ca="1">TEXT(TRUNC(-77.48778), "0" &amp; CHAR(176) &amp; " ") &amp; TEXT(INT((ABS(-77.48778)- INT(ABS(-77.48778)))*60), "0' ") &amp; TEXT(((((ABS(-77.48778)-INT(ABS(-77.48778)))*60)- INT((ABS(-77.48778) - INT(ABS(-77.48778)))*60))*60), " 0''")</f>
        <v>-77°c c29  16</v>
      </c>
    </row>
    <row r="418" spans="1:10">
      <c r="A418" t="s">
        <v>10</v>
      </c>
      <c r="B418" s="2">
        <v>1200</v>
      </c>
      <c r="C418" t="s">
        <v>24</v>
      </c>
      <c r="D418" t="s">
        <v>903</v>
      </c>
      <c r="E418" t="s">
        <v>461</v>
      </c>
      <c r="F418" t="s">
        <v>48</v>
      </c>
      <c r="G418" t="s">
        <v>49</v>
      </c>
      <c r="H418" s="3">
        <v>39827.274305555555</v>
      </c>
      <c r="I418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418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419" spans="1:10">
      <c r="A419" t="s">
        <v>10</v>
      </c>
      <c r="B419" s="2">
        <v>1200</v>
      </c>
      <c r="C419" t="s">
        <v>24</v>
      </c>
      <c r="D419" t="s">
        <v>1001</v>
      </c>
      <c r="E419" t="s">
        <v>1002</v>
      </c>
      <c r="F419" t="s">
        <v>1003</v>
      </c>
      <c r="G419" t="s">
        <v>159</v>
      </c>
      <c r="H419" s="3">
        <v>39827.3125</v>
      </c>
      <c r="I419" t="str">
        <f ca="1">TEXT(TRUNC(43.0166667), "0" &amp; CHAR(176) &amp; " ") &amp; TEXT(INT((ABS(43.0166667)- INT(ABS(43.0166667)))*60), "0' ") &amp; TEXT(((((ABS(43.0166667)-INT(ABS(43.0166667)))*60)- INT((ABS(43.0166667) - INT(ABS(43.0166667)))*60))*60), " 0''")</f>
        <v>43°c c1  0</v>
      </c>
      <c r="J419" t="str">
        <f ca="1">TEXT(TRUNC(-2.4), "0" &amp; CHAR(176) &amp; " ") &amp; TEXT(INT((ABS(-2.4)- INT(ABS(-2.4)))*60), "0' ") &amp; TEXT(((((ABS(-2.4)-INT(ABS(-2.4)))*60)- INT((ABS(-2.4) - INT(ABS(-2.4)))*60))*60), " 0''")</f>
        <v>-2°c c24  0</v>
      </c>
    </row>
    <row r="420" spans="1:10">
      <c r="A420" t="s">
        <v>10</v>
      </c>
      <c r="B420" s="2">
        <v>1200</v>
      </c>
      <c r="C420" t="s">
        <v>24</v>
      </c>
      <c r="D420" t="s">
        <v>1006</v>
      </c>
      <c r="E420" t="s">
        <v>1007</v>
      </c>
      <c r="F420" t="s">
        <v>1008</v>
      </c>
      <c r="G420" t="s">
        <v>15</v>
      </c>
      <c r="H420" s="3">
        <v>39827.359722222223</v>
      </c>
      <c r="I420" t="str">
        <f ca="1">TEXT(TRUNC(41.67694), "0" &amp; CHAR(176) &amp; " ") &amp; TEXT(INT((ABS(41.67694)- INT(ABS(41.67694)))*60), "0' ") &amp; TEXT(((((ABS(41.67694)-INT(ABS(41.67694)))*60)- INT((ABS(41.67694) - INT(ABS(41.67694)))*60))*60), " 0''")</f>
        <v>41°c c40  37</v>
      </c>
      <c r="J420" t="str">
        <f ca="1">TEXT(TRUNC(-71.26667), "0" &amp; CHAR(176) &amp; " ") &amp; TEXT(INT((ABS(-71.26667)- INT(ABS(-71.26667)))*60), "0' ") &amp; TEXT(((((ABS(-71.26667)-INT(ABS(-71.26667)))*60)- INT((ABS(-71.26667) - INT(ABS(-71.26667)))*60))*60), " 0''")</f>
        <v>-71°c c16  0</v>
      </c>
    </row>
    <row r="421" spans="1:10">
      <c r="A421" t="s">
        <v>10</v>
      </c>
      <c r="B421" s="2">
        <v>1200</v>
      </c>
      <c r="C421" t="s">
        <v>11</v>
      </c>
      <c r="D421" t="s">
        <v>1009</v>
      </c>
      <c r="E421" t="s">
        <v>1010</v>
      </c>
      <c r="F421" t="s">
        <v>459</v>
      </c>
      <c r="G421" t="s">
        <v>15</v>
      </c>
      <c r="H421" s="3">
        <v>39827.381944444445</v>
      </c>
      <c r="I421" t="str">
        <f ca="1">TEXT(TRUNC(37.77417), "0" &amp; CHAR(176) &amp; " ") &amp; TEXT(INT((ABS(37.77417)- INT(ABS(37.77417)))*60), "0' ") &amp; TEXT(((((ABS(37.77417)-INT(ABS(37.77417)))*60)- INT((ABS(37.77417) - INT(ABS(37.77417)))*60))*60), " 0''")</f>
        <v>37°c c46  27</v>
      </c>
      <c r="J421" t="str">
        <f ca="1">TEXT(TRUNC(-87.11333), "0" &amp; CHAR(176) &amp; " ") &amp; TEXT(INT((ABS(-87.11333)- INT(ABS(-87.11333)))*60), "0' ") &amp; TEXT(((((ABS(-87.11333)-INT(ABS(-87.11333)))*60)- INT((ABS(-87.11333) - INT(ABS(-87.11333)))*60))*60), " 0''")</f>
        <v>-87°c c6  48</v>
      </c>
    </row>
    <row r="422" spans="1:10">
      <c r="A422" t="s">
        <v>10</v>
      </c>
      <c r="B422" s="2">
        <v>1200</v>
      </c>
      <c r="C422" t="s">
        <v>24</v>
      </c>
      <c r="D422" t="s">
        <v>600</v>
      </c>
      <c r="E422" t="s">
        <v>761</v>
      </c>
      <c r="F422" t="s">
        <v>762</v>
      </c>
      <c r="G422" t="s">
        <v>763</v>
      </c>
      <c r="H422" s="3">
        <v>39827.47152777778</v>
      </c>
      <c r="I422" t="str">
        <f ca="1">TEXT(TRUNC(25.2097222), "0" &amp; CHAR(176) &amp; " ") &amp; TEXT(INT((ABS(25.2097222)- INT(ABS(25.2097222)))*60), "0' ") &amp; TEXT(((((ABS(25.2097222)-INT(ABS(25.2097222)))*60)- INT((ABS(25.2097222) - INT(ABS(25.2097222)))*60))*60), " 0''")</f>
        <v>25°c c12  35</v>
      </c>
      <c r="J422" t="str">
        <f ca="1">TEXT(TRUNC(55.2477778), "0" &amp; CHAR(176) &amp; " ") &amp; TEXT(INT((ABS(55.2477778)- INT(ABS(55.2477778)))*60), "0' ") &amp; TEXT(((((ABS(55.2477778)-INT(ABS(55.2477778)))*60)- INT((ABS(55.2477778) - INT(ABS(55.2477778)))*60))*60), " 0''")</f>
        <v>55°c c14  52</v>
      </c>
    </row>
    <row r="423" spans="1:10">
      <c r="A423" t="s">
        <v>10</v>
      </c>
      <c r="B423" s="2">
        <v>1200</v>
      </c>
      <c r="C423" t="s">
        <v>24</v>
      </c>
      <c r="D423" t="s">
        <v>1015</v>
      </c>
      <c r="E423" t="s">
        <v>1016</v>
      </c>
      <c r="F423" t="s">
        <v>391</v>
      </c>
      <c r="G423" t="s">
        <v>15</v>
      </c>
      <c r="H423" s="3">
        <v>39827.482638888891</v>
      </c>
      <c r="I423" t="str">
        <f ca="1">TEXT(TRUNC(19.7349), "0" &amp; CHAR(176) &amp; " ") &amp; TEXT(INT((ABS(19.7349)- INT(ABS(19.7349)))*60), "0' ") &amp; TEXT(((((ABS(19.7349)-INT(ABS(19.7349)))*60)- INT((ABS(19.7349) - INT(ABS(19.7349)))*60))*60), " 0''")</f>
        <v>19°c c44  6</v>
      </c>
      <c r="J423" t="str">
        <f ca="1">TEXT(TRUNC(-155.9003), "0" &amp; CHAR(176) &amp; " ") &amp; TEXT(INT((ABS(-155.9003)- INT(ABS(-155.9003)))*60), "0' ") &amp; TEXT(((((ABS(-155.9003)-INT(ABS(-155.9003)))*60)- INT((ABS(-155.9003) - INT(ABS(-155.9003)))*60))*60), " 0''")</f>
        <v>-155°c c54  1</v>
      </c>
    </row>
    <row r="424" spans="1:10">
      <c r="A424" t="s">
        <v>10</v>
      </c>
      <c r="B424" s="2">
        <v>1200</v>
      </c>
      <c r="C424" t="s">
        <v>11</v>
      </c>
      <c r="D424" t="s">
        <v>1017</v>
      </c>
      <c r="E424" t="s">
        <v>1018</v>
      </c>
      <c r="F424" t="s">
        <v>405</v>
      </c>
      <c r="G424" t="s">
        <v>15</v>
      </c>
      <c r="H424" s="3">
        <v>39827.504861111112</v>
      </c>
      <c r="I424" t="str">
        <f ca="1">TEXT(TRUNC(44.64972), "0" &amp; CHAR(176) &amp; " ") &amp; TEXT(INT((ABS(44.64972)- INT(ABS(44.64972)))*60), "0' ") &amp; TEXT(((((ABS(44.64972)-INT(ABS(44.64972)))*60)- INT((ABS(44.64972) - INT(ABS(44.64972)))*60))*60), " 0''")</f>
        <v>44°c c38  59</v>
      </c>
      <c r="J424" t="str">
        <f ca="1">TEXT(TRUNC(-93.2425), "0" &amp; CHAR(176) &amp; " ") &amp; TEXT(INT((ABS(-93.2425)- INT(ABS(-93.2425)))*60), "0' ") &amp; TEXT(((((ABS(-93.2425)-INT(ABS(-93.2425)))*60)- INT((ABS(-93.2425) - INT(ABS(-93.2425)))*60))*60), " 0''")</f>
        <v>-93°c c14  33</v>
      </c>
    </row>
    <row r="425" spans="1:10">
      <c r="A425" t="s">
        <v>10</v>
      </c>
      <c r="B425" s="2">
        <v>1200</v>
      </c>
      <c r="C425" t="s">
        <v>24</v>
      </c>
      <c r="D425" t="s">
        <v>1019</v>
      </c>
      <c r="E425" t="s">
        <v>1020</v>
      </c>
      <c r="F425" t="s">
        <v>53</v>
      </c>
      <c r="G425" t="s">
        <v>54</v>
      </c>
      <c r="H425" s="3">
        <v>39827.522916666669</v>
      </c>
      <c r="I425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425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426" spans="1:10">
      <c r="A426" t="s">
        <v>10</v>
      </c>
      <c r="B426" s="2">
        <v>1200</v>
      </c>
      <c r="C426" t="s">
        <v>24</v>
      </c>
      <c r="D426" t="s">
        <v>1021</v>
      </c>
      <c r="E426" t="s">
        <v>1022</v>
      </c>
      <c r="F426" t="s">
        <v>394</v>
      </c>
      <c r="G426" t="s">
        <v>75</v>
      </c>
      <c r="H426" s="3">
        <v>39827.538194444445</v>
      </c>
      <c r="I426" t="str">
        <f ca="1">TEXT(TRUNC(47.4333333), "0" &amp; CHAR(176) &amp; " ") &amp; TEXT(INT((ABS(47.4333333)- INT(ABS(47.4333333)))*60), "0' ") &amp; TEXT(((((ABS(47.4333333)-INT(ABS(47.4333333)))*60)- INT((ABS(47.4333333) - INT(ABS(47.4333333)))*60))*60), " 0''")</f>
        <v>47°c c25  60</v>
      </c>
      <c r="J426" t="str">
        <f ca="1">TEXT(TRUNC(8.4666667), "0" &amp; CHAR(176) &amp; " ") &amp; TEXT(INT((ABS(8.4666667)- INT(ABS(8.4666667)))*60), "0' ") &amp; TEXT(((((ABS(8.4666667)-INT(ABS(8.4666667)))*60)- INT((ABS(8.4666667) - INT(ABS(8.4666667)))*60))*60), " 0''")</f>
        <v>8°c c28  0</v>
      </c>
    </row>
    <row r="427" spans="1:10">
      <c r="A427" t="s">
        <v>10</v>
      </c>
      <c r="B427" s="2">
        <v>1200</v>
      </c>
      <c r="C427" t="s">
        <v>50</v>
      </c>
      <c r="D427" t="s">
        <v>1023</v>
      </c>
      <c r="E427" t="s">
        <v>1024</v>
      </c>
      <c r="F427" t="s">
        <v>931</v>
      </c>
      <c r="G427" t="s">
        <v>15</v>
      </c>
      <c r="H427" s="3">
        <v>39827.557638888888</v>
      </c>
      <c r="I427" t="str">
        <f ca="1">TEXT(TRUNC(44.38361), "0" &amp; CHAR(176) &amp; " ") &amp; TEXT(INT((ABS(44.38361)- INT(ABS(44.38361)))*60), "0' ") &amp; TEXT(((((ABS(44.38361)-INT(ABS(44.38361)))*60)- INT((ABS(44.38361) - INT(ABS(44.38361)))*60))*60), " 0''")</f>
        <v>44°c c23  1</v>
      </c>
      <c r="J427" t="str">
        <f ca="1">TEXT(TRUNC(-89.81722), "0" &amp; CHAR(176) &amp; " ") &amp; TEXT(INT((ABS(-89.81722)- INT(ABS(-89.81722)))*60), "0' ") &amp; TEXT(((((ABS(-89.81722)-INT(ABS(-89.81722)))*60)- INT((ABS(-89.81722) - INT(ABS(-89.81722)))*60))*60), " 0''")</f>
        <v>-89°c c49  2</v>
      </c>
    </row>
    <row r="428" spans="1:10">
      <c r="A428" t="s">
        <v>10</v>
      </c>
      <c r="B428" s="2">
        <v>1200</v>
      </c>
      <c r="C428" t="s">
        <v>33</v>
      </c>
      <c r="D428" t="s">
        <v>1025</v>
      </c>
      <c r="E428" t="s">
        <v>1026</v>
      </c>
      <c r="F428" t="s">
        <v>57</v>
      </c>
      <c r="G428" t="s">
        <v>15</v>
      </c>
      <c r="H428" s="3">
        <v>39827.652777777781</v>
      </c>
      <c r="I428" t="str">
        <f ca="1">TEXT(TRUNC(33.84917), "0" &amp; CHAR(176) &amp; " ") &amp; TEXT(INT((ABS(33.84917)- INT(ABS(33.84917)))*60), "0' ") &amp; TEXT(((((ABS(33.84917)-INT(ABS(33.84917)))*60)- INT((ABS(33.84917) - INT(ABS(33.84917)))*60))*60), " 0''")</f>
        <v>33°c c50  57</v>
      </c>
      <c r="J428" t="str">
        <f ca="1">TEXT(TRUNC(-118.3875), "0" &amp; CHAR(176) &amp; " ") &amp; TEXT(INT((ABS(-118.3875)- INT(ABS(-118.3875)))*60), "0' ") &amp; TEXT(((((ABS(-118.3875)-INT(ABS(-118.3875)))*60)- INT((ABS(-118.3875) - INT(ABS(-118.3875)))*60))*60), " 0''")</f>
        <v>-118°c c23  15</v>
      </c>
    </row>
    <row r="429" spans="1:10">
      <c r="A429" t="s">
        <v>10</v>
      </c>
      <c r="B429" s="2">
        <v>1200</v>
      </c>
      <c r="C429" t="s">
        <v>11</v>
      </c>
      <c r="D429" t="s">
        <v>752</v>
      </c>
      <c r="E429" t="s">
        <v>1027</v>
      </c>
      <c r="F429" t="s">
        <v>57</v>
      </c>
      <c r="G429" t="s">
        <v>15</v>
      </c>
      <c r="H429" s="3">
        <v>39827.668055555558</v>
      </c>
      <c r="I429" t="str">
        <f ca="1">TEXT(TRUNC(34.16833), "0" &amp; CHAR(176) &amp; " ") &amp; TEXT(INT((ABS(34.16833)- INT(ABS(34.16833)))*60), "0' ") &amp; TEXT(((((ABS(34.16833)-INT(ABS(34.16833)))*60)- INT((ABS(34.16833) - INT(ABS(34.16833)))*60))*60), " 0''")</f>
        <v>34°c c10  6</v>
      </c>
      <c r="J429" t="str">
        <f ca="1">TEXT(TRUNC(-118.605), "0" &amp; CHAR(176) &amp; " ") &amp; TEXT(INT((ABS(-118.605)- INT(ABS(-118.605)))*60), "0' ") &amp; TEXT(((((ABS(-118.605)-INT(ABS(-118.605)))*60)- INT((ABS(-118.605) - INT(ABS(-118.605)))*60))*60), " 0''")</f>
        <v>-118°c c36  18</v>
      </c>
    </row>
    <row r="430" spans="1:10">
      <c r="A430" t="s">
        <v>10</v>
      </c>
      <c r="B430" s="2">
        <v>1200</v>
      </c>
      <c r="C430" t="s">
        <v>24</v>
      </c>
      <c r="D430" t="s">
        <v>1028</v>
      </c>
      <c r="E430" t="s">
        <v>552</v>
      </c>
      <c r="F430" t="s">
        <v>553</v>
      </c>
      <c r="G430" t="s">
        <v>15</v>
      </c>
      <c r="H430" s="3">
        <v>39827.753472222219</v>
      </c>
      <c r="I430" t="str">
        <f ca="1">TEXT(TRUNC(61.21806), "0" &amp; CHAR(176) &amp; " ") &amp; TEXT(INT((ABS(61.21806)- INT(ABS(61.21806)))*60), "0' ") &amp; TEXT(((((ABS(61.21806)-INT(ABS(61.21806)))*60)- INT((ABS(61.21806) - INT(ABS(61.21806)))*60))*60), " 0''")</f>
        <v>61°c c13  5</v>
      </c>
      <c r="J430" t="str">
        <f ca="1">TEXT(TRUNC(-149.90028), "0" &amp; CHAR(176) &amp; " ") &amp; TEXT(INT((ABS(-149.90028)- INT(ABS(-149.90028)))*60), "0' ") &amp; TEXT(((((ABS(-149.90028)-INT(ABS(-149.90028)))*60)- INT((ABS(-149.90028) - INT(ABS(-149.90028)))*60))*60), " 0''")</f>
        <v>-149°c c54  1</v>
      </c>
    </row>
    <row r="431" spans="1:10">
      <c r="A431" t="s">
        <v>10</v>
      </c>
      <c r="B431" s="2">
        <v>1200</v>
      </c>
      <c r="C431" t="s">
        <v>24</v>
      </c>
      <c r="D431" t="s">
        <v>1029</v>
      </c>
      <c r="E431" t="s">
        <v>1030</v>
      </c>
      <c r="F431" t="s">
        <v>476</v>
      </c>
      <c r="G431" t="s">
        <v>15</v>
      </c>
      <c r="H431" s="3">
        <v>39827.76458333333</v>
      </c>
      <c r="I431" t="str">
        <f ca="1">TEXT(TRUNC(33.96083), "0" &amp; CHAR(176) &amp; " ") &amp; TEXT(INT((ABS(33.96083)- INT(ABS(33.96083)))*60), "0' ") &amp; TEXT(((((ABS(33.96083)-INT(ABS(33.96083)))*60)- INT((ABS(33.96083) - INT(ABS(33.96083)))*60))*60), " 0''")</f>
        <v>33°c c57  39</v>
      </c>
      <c r="J431" t="str">
        <f ca="1">TEXT(TRUNC(-83.37806), "0" &amp; CHAR(176) &amp; " ") &amp; TEXT(INT((ABS(-83.37806)- INT(ABS(-83.37806)))*60), "0' ") &amp; TEXT(((((ABS(-83.37806)-INT(ABS(-83.37806)))*60)- INT((ABS(-83.37806) - INT(ABS(-83.37806)))*60))*60), " 0''")</f>
        <v>-83°c c22  41</v>
      </c>
    </row>
    <row r="432" spans="1:10">
      <c r="A432" t="s">
        <v>10</v>
      </c>
      <c r="B432" s="2">
        <v>1200</v>
      </c>
      <c r="C432" t="s">
        <v>24</v>
      </c>
      <c r="D432" t="s">
        <v>1031</v>
      </c>
      <c r="E432" t="s">
        <v>636</v>
      </c>
      <c r="F432" t="s">
        <v>45</v>
      </c>
      <c r="G432" t="s">
        <v>15</v>
      </c>
      <c r="H432" s="3">
        <v>39827.813888888886</v>
      </c>
      <c r="I432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432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433" spans="1:10">
      <c r="A433" t="s">
        <v>10</v>
      </c>
      <c r="B433" s="2">
        <v>1200</v>
      </c>
      <c r="C433" t="s">
        <v>24</v>
      </c>
      <c r="D433" t="s">
        <v>329</v>
      </c>
      <c r="E433" t="s">
        <v>1032</v>
      </c>
      <c r="F433" t="s">
        <v>27</v>
      </c>
      <c r="G433" t="s">
        <v>15</v>
      </c>
      <c r="H433" s="3">
        <v>39827.947222222225</v>
      </c>
      <c r="I433" t="str">
        <f ca="1">TEXT(TRUNC(33.1425), "0" &amp; CHAR(176) &amp; " ") &amp; TEXT(INT((ABS(33.1425)- INT(ABS(33.1425)))*60), "0' ") &amp; TEXT(((((ABS(33.1425)-INT(ABS(33.1425)))*60)- INT((ABS(33.1425) - INT(ABS(33.1425)))*60))*60), " 0''")</f>
        <v>33°c c8  33</v>
      </c>
      <c r="J433" t="str">
        <f ca="1">TEXT(TRUNC(-96.96917), "0" &amp; CHAR(176) &amp; " ") &amp; TEXT(INT((ABS(-96.96917)- INT(ABS(-96.96917)))*60), "0' ") &amp; TEXT(((((ABS(-96.96917)-INT(ABS(-96.96917)))*60)- INT((ABS(-96.96917) - INT(ABS(-96.96917)))*60))*60), " 0''")</f>
        <v>-96°c c58  9</v>
      </c>
    </row>
    <row r="434" spans="1:10">
      <c r="A434" t="s">
        <v>10</v>
      </c>
      <c r="B434" s="2">
        <v>1200</v>
      </c>
      <c r="C434" t="s">
        <v>50</v>
      </c>
      <c r="D434" t="s">
        <v>618</v>
      </c>
      <c r="E434" t="s">
        <v>1033</v>
      </c>
      <c r="F434" t="s">
        <v>173</v>
      </c>
      <c r="G434" t="s">
        <v>174</v>
      </c>
      <c r="H434" s="3">
        <v>39828.070138888892</v>
      </c>
      <c r="I434" t="str">
        <f ca="1">TEXT(TRUNC(43.25), "0" &amp; CHAR(176) &amp; " ") &amp; TEXT(INT((ABS(43.25)- INT(ABS(43.25)))*60), "0' ") &amp; TEXT(((((ABS(43.25)-INT(ABS(43.25)))*60)- INT((ABS(43.25) - INT(ABS(43.25)))*60))*60), " 0''")</f>
        <v>43°c c15  0</v>
      </c>
      <c r="J434" t="str">
        <f ca="1">TEXT(TRUNC(5.6166667), "0" &amp; CHAR(176) &amp; " ") &amp; TEXT(INT((ABS(5.6166667)- INT(ABS(5.6166667)))*60), "0' ") &amp; TEXT(((((ABS(5.6166667)-INT(ABS(5.6166667)))*60)- INT((ABS(5.6166667) - INT(ABS(5.6166667)))*60))*60), " 0''")</f>
        <v>5°c c37  0</v>
      </c>
    </row>
    <row r="435" spans="1:10">
      <c r="A435" t="s">
        <v>10</v>
      </c>
      <c r="B435" s="2">
        <v>1200</v>
      </c>
      <c r="C435" t="s">
        <v>11</v>
      </c>
      <c r="D435" t="s">
        <v>1034</v>
      </c>
      <c r="E435" t="s">
        <v>1035</v>
      </c>
      <c r="F435" t="s">
        <v>98</v>
      </c>
      <c r="G435" t="s">
        <v>15</v>
      </c>
      <c r="H435" s="3">
        <v>39828.111111111109</v>
      </c>
      <c r="I435" t="str">
        <f ca="1">TEXT(TRUNC(42.09722), "0" &amp; CHAR(176) &amp; " ") &amp; TEXT(INT((ABS(42.09722)- INT(ABS(42.09722)))*60), "0' ") &amp; TEXT(((((ABS(42.09722)-INT(ABS(42.09722)))*60)- INT((ABS(42.09722) - INT(ABS(42.09722)))*60))*60), " 0''")</f>
        <v>42°c c5  50</v>
      </c>
      <c r="J435" t="str">
        <f ca="1">TEXT(TRUNC(-88.69278), "0" &amp; CHAR(176) &amp; " ") &amp; TEXT(INT((ABS(-88.69278)- INT(ABS(-88.69278)))*60), "0' ") &amp; TEXT(((((ABS(-88.69278)-INT(ABS(-88.69278)))*60)- INT((ABS(-88.69278) - INT(ABS(-88.69278)))*60))*60), " 0''")</f>
        <v>-88°c c41  34</v>
      </c>
    </row>
    <row r="436" spans="1:10">
      <c r="A436" t="s">
        <v>10</v>
      </c>
      <c r="B436" s="2">
        <v>1200</v>
      </c>
      <c r="C436" t="s">
        <v>24</v>
      </c>
      <c r="D436" t="s">
        <v>432</v>
      </c>
      <c r="E436" t="s">
        <v>1036</v>
      </c>
      <c r="F436" t="s">
        <v>1037</v>
      </c>
      <c r="G436" t="s">
        <v>174</v>
      </c>
      <c r="H436" s="3">
        <v>39828.154861111114</v>
      </c>
      <c r="I436" t="str">
        <f ca="1">TEXT(TRUNC(49.4333333), "0" &amp; CHAR(176) &amp; " ") &amp; TEXT(INT((ABS(49.4333333)- INT(ABS(49.4333333)))*60), "0' ") &amp; TEXT(((((ABS(49.4333333)-INT(ABS(49.4333333)))*60)- INT((ABS(49.4333333) - INT(ABS(49.4333333)))*60))*60), " 0''")</f>
        <v>49°c c25  60</v>
      </c>
      <c r="J436" t="str">
        <f ca="1">TEXT(TRUNC(1.0833333), "0" &amp; CHAR(176) &amp; " ") &amp; TEXT(INT((ABS(1.0833333)- INT(ABS(1.0833333)))*60), "0' ") &amp; TEXT(((((ABS(1.0833333)-INT(ABS(1.0833333)))*60)- INT((ABS(1.0833333) - INT(ABS(1.0833333)))*60))*60), " 0''")</f>
        <v>1°c c4  60</v>
      </c>
    </row>
    <row r="437" spans="1:10">
      <c r="A437" t="s">
        <v>10</v>
      </c>
      <c r="B437" s="2">
        <v>1200</v>
      </c>
      <c r="C437" t="s">
        <v>11</v>
      </c>
      <c r="D437" t="s">
        <v>1038</v>
      </c>
      <c r="E437" t="s">
        <v>961</v>
      </c>
      <c r="F437" t="s">
        <v>152</v>
      </c>
      <c r="G437" t="s">
        <v>15</v>
      </c>
      <c r="H437" s="3">
        <v>39828.175</v>
      </c>
      <c r="I437" t="str">
        <f ca="1">TEXT(TRUNC(37.61917), "0" &amp; CHAR(176) &amp; " ") &amp; TEXT(INT((ABS(37.61917)- INT(ABS(37.61917)))*60), "0' ") &amp; TEXT(((((ABS(37.61917)-INT(ABS(37.61917)))*60)- INT((ABS(37.61917) - INT(ABS(37.61917)))*60))*60), " 0''")</f>
        <v>37°c c37  9</v>
      </c>
      <c r="J437" t="str">
        <f ca="1">TEXT(TRUNC(-75.76417), "0" &amp; CHAR(176) &amp; " ") &amp; TEXT(INT((ABS(-75.76417)- INT(ABS(-75.76417)))*60), "0' ") &amp; TEXT(((((ABS(-75.76417)-INT(ABS(-75.76417)))*60)- INT((ABS(-75.76417) - INT(ABS(-75.76417)))*60))*60), " 0''")</f>
        <v>-75°c c45  51</v>
      </c>
    </row>
    <row r="438" spans="1:10">
      <c r="A438" t="s">
        <v>10</v>
      </c>
      <c r="B438" s="2">
        <v>1200</v>
      </c>
      <c r="C438" t="s">
        <v>24</v>
      </c>
      <c r="D438" t="s">
        <v>1042</v>
      </c>
      <c r="E438" t="s">
        <v>1043</v>
      </c>
      <c r="F438" t="s">
        <v>152</v>
      </c>
      <c r="G438" t="s">
        <v>15</v>
      </c>
      <c r="H438" s="3">
        <v>39828.240972222222</v>
      </c>
      <c r="I438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438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439" spans="1:10">
      <c r="A439" t="s">
        <v>10</v>
      </c>
      <c r="B439" s="2">
        <v>1200</v>
      </c>
      <c r="C439" t="s">
        <v>11</v>
      </c>
      <c r="D439" t="s">
        <v>1044</v>
      </c>
      <c r="E439" t="s">
        <v>269</v>
      </c>
      <c r="F439" t="s">
        <v>270</v>
      </c>
      <c r="G439" t="s">
        <v>31</v>
      </c>
      <c r="H439" s="3">
        <v>39828.30972222222</v>
      </c>
      <c r="I43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39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40" spans="1:10">
      <c r="A440" t="s">
        <v>10</v>
      </c>
      <c r="B440" s="2">
        <v>1200</v>
      </c>
      <c r="C440" t="s">
        <v>24</v>
      </c>
      <c r="D440" t="s">
        <v>1045</v>
      </c>
      <c r="E440" t="s">
        <v>1046</v>
      </c>
      <c r="F440" t="s">
        <v>400</v>
      </c>
      <c r="G440" t="s">
        <v>15</v>
      </c>
      <c r="H440" s="3">
        <v>39828.338194444441</v>
      </c>
      <c r="I440" t="str">
        <f ca="1">TEXT(TRUNC(42.48944), "0" &amp; CHAR(176) &amp; " ") &amp; TEXT(INT((ABS(42.48944)- INT(ABS(42.48944)))*60), "0' ") &amp; TEXT(((((ABS(42.48944)-INT(ABS(42.48944)))*60)- INT((ABS(42.48944) - INT(ABS(42.48944)))*60))*60), " 0''")</f>
        <v>42°c c29  22</v>
      </c>
      <c r="J440" t="str">
        <f ca="1">TEXT(TRUNC(-83.14472), "0" &amp; CHAR(176) &amp; " ") &amp; TEXT(INT((ABS(-83.14472)- INT(ABS(-83.14472)))*60), "0' ") &amp; TEXT(((((ABS(-83.14472)-INT(ABS(-83.14472)))*60)- INT((ABS(-83.14472) - INT(ABS(-83.14472)))*60))*60), " 0''")</f>
        <v>-83°c c8  41</v>
      </c>
    </row>
    <row r="441" spans="1:10">
      <c r="A441" t="s">
        <v>10</v>
      </c>
      <c r="B441" s="2">
        <v>1200</v>
      </c>
      <c r="C441" t="s">
        <v>24</v>
      </c>
      <c r="D441" t="s">
        <v>1047</v>
      </c>
      <c r="E441" t="s">
        <v>1046</v>
      </c>
      <c r="F441" t="s">
        <v>400</v>
      </c>
      <c r="G441" t="s">
        <v>15</v>
      </c>
      <c r="H441" s="3">
        <v>39828.340277777781</v>
      </c>
      <c r="I441" t="str">
        <f ca="1">TEXT(TRUNC(42.48944), "0" &amp; CHAR(176) &amp; " ") &amp; TEXT(INT((ABS(42.48944)- INT(ABS(42.48944)))*60), "0' ") &amp; TEXT(((((ABS(42.48944)-INT(ABS(42.48944)))*60)- INT((ABS(42.48944) - INT(ABS(42.48944)))*60))*60), " 0''")</f>
        <v>42°c c29  22</v>
      </c>
      <c r="J441" t="str">
        <f ca="1">TEXT(TRUNC(-83.14472), "0" &amp; CHAR(176) &amp; " ") &amp; TEXT(INT((ABS(-83.14472)- INT(ABS(-83.14472)))*60), "0' ") &amp; TEXT(((((ABS(-83.14472)-INT(ABS(-83.14472)))*60)- INT((ABS(-83.14472) - INT(ABS(-83.14472)))*60))*60), " 0''")</f>
        <v>-83°c c8  41</v>
      </c>
    </row>
    <row r="442" spans="1:10">
      <c r="A442" t="s">
        <v>10</v>
      </c>
      <c r="B442" s="2">
        <v>1200</v>
      </c>
      <c r="C442" t="s">
        <v>24</v>
      </c>
      <c r="D442" t="s">
        <v>639</v>
      </c>
      <c r="E442" t="s">
        <v>810</v>
      </c>
      <c r="F442" t="s">
        <v>476</v>
      </c>
      <c r="G442" t="s">
        <v>15</v>
      </c>
      <c r="H442" s="3">
        <v>39828.341666666667</v>
      </c>
      <c r="I442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442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443" spans="1:10">
      <c r="A443" t="s">
        <v>10</v>
      </c>
      <c r="B443" s="2">
        <v>1200</v>
      </c>
      <c r="C443" t="s">
        <v>24</v>
      </c>
      <c r="D443" t="s">
        <v>1048</v>
      </c>
      <c r="E443" t="s">
        <v>1049</v>
      </c>
      <c r="F443" t="s">
        <v>1050</v>
      </c>
      <c r="G443" t="s">
        <v>1051</v>
      </c>
      <c r="H443" s="3">
        <v>39828.375</v>
      </c>
      <c r="I443" t="str">
        <f ca="1">TEXT(TRUNC(26.5333333), "0" &amp; CHAR(176) &amp; " ") &amp; TEXT(INT((ABS(26.5333333)- INT(ABS(26.5333333)))*60), "0' ") &amp; TEXT(((((ABS(26.5333333)-INT(ABS(26.5333333)))*60)- INT((ABS(26.5333333) - INT(ABS(26.5333333)))*60))*60), " 0''")</f>
        <v>26°c c31  60</v>
      </c>
      <c r="J443" t="str">
        <f ca="1">TEXT(TRUNC(-78.7), "0" &amp; CHAR(176) &amp; " ") &amp; TEXT(INT((ABS(-78.7)- INT(ABS(-78.7)))*60), "0' ") &amp; TEXT(((((ABS(-78.7)-INT(ABS(-78.7)))*60)- INT((ABS(-78.7) - INT(ABS(-78.7)))*60))*60), " 0''")</f>
        <v>-78°c c42  0</v>
      </c>
    </row>
    <row r="444" spans="1:10">
      <c r="A444" t="s">
        <v>10</v>
      </c>
      <c r="B444" s="2">
        <v>1200</v>
      </c>
      <c r="C444" t="s">
        <v>33</v>
      </c>
      <c r="D444" t="s">
        <v>1052</v>
      </c>
      <c r="E444" t="s">
        <v>1053</v>
      </c>
      <c r="F444" t="s">
        <v>179</v>
      </c>
      <c r="G444" t="s">
        <v>15</v>
      </c>
      <c r="H444" s="3">
        <v>39828.411111111112</v>
      </c>
      <c r="I444" t="str">
        <f ca="1">TEXT(TRUNC(40.345), "0" &amp; CHAR(176) &amp; " ") &amp; TEXT(INT((ABS(40.345)- INT(ABS(40.345)))*60), "0' ") &amp; TEXT(((((ABS(40.345)-INT(ABS(40.345)))*60)- INT((ABS(40.345) - INT(ABS(40.345)))*60))*60), " 0''")</f>
        <v>40°c c20  42</v>
      </c>
      <c r="J444" t="str">
        <f ca="1">TEXT(TRUNC(-74.18444), "0" &amp; CHAR(176) &amp; " ") &amp; TEXT(INT((ABS(-74.18444)- INT(ABS(-74.18444)))*60), "0' ") &amp; TEXT(((((ABS(-74.18444)-INT(ABS(-74.18444)))*60)- INT((ABS(-74.18444) - INT(ABS(-74.18444)))*60))*60), " 0''")</f>
        <v>-74°c c11  4</v>
      </c>
    </row>
    <row r="445" spans="1:10">
      <c r="A445" t="s">
        <v>10</v>
      </c>
      <c r="B445" s="2">
        <v>1200</v>
      </c>
      <c r="C445" t="s">
        <v>24</v>
      </c>
      <c r="D445" t="s">
        <v>1055</v>
      </c>
      <c r="E445" t="s">
        <v>1056</v>
      </c>
      <c r="F445" t="s">
        <v>53</v>
      </c>
      <c r="G445" t="s">
        <v>54</v>
      </c>
      <c r="H445" s="3">
        <v>39828.433333333334</v>
      </c>
      <c r="I445" t="str">
        <f ca="1">TEXT(TRUNC(53.9666667), "0" &amp; CHAR(176) &amp; " ") &amp; TEXT(INT((ABS(53.9666667)- INT(ABS(53.9666667)))*60), "0' ") &amp; TEXT(((((ABS(53.9666667)-INT(ABS(53.9666667)))*60)- INT((ABS(53.9666667) - INT(ABS(53.9666667)))*60))*60), " 0''")</f>
        <v>53°c c58  0</v>
      </c>
      <c r="J445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446" spans="1:10">
      <c r="A446" t="s">
        <v>10</v>
      </c>
      <c r="B446" s="2">
        <v>1200</v>
      </c>
      <c r="C446" t="s">
        <v>24</v>
      </c>
      <c r="D446" t="s">
        <v>1057</v>
      </c>
      <c r="E446" t="s">
        <v>1058</v>
      </c>
      <c r="F446" t="s">
        <v>1008</v>
      </c>
      <c r="G446" t="s">
        <v>15</v>
      </c>
      <c r="H446" s="3">
        <v>39828.442361111112</v>
      </c>
      <c r="I446" t="str">
        <f ca="1">TEXT(TRUNC(41.51), "0" &amp; CHAR(176) &amp; " ") &amp; TEXT(INT((ABS(41.51)- INT(ABS(41.51)))*60), "0' ") &amp; TEXT(((((ABS(41.51)-INT(ABS(41.51)))*60)- INT((ABS(41.51) - INT(ABS(41.51)))*60))*60), " 0''")</f>
        <v>41°c c30  36</v>
      </c>
      <c r="J446" t="str">
        <f ca="1">TEXT(TRUNC(-71.17167), "0" &amp; CHAR(176) &amp; " ") &amp; TEXT(INT((ABS(-71.17167)- INT(ABS(-71.17167)))*60), "0' ") &amp; TEXT(((((ABS(-71.17167)-INT(ABS(-71.17167)))*60)- INT((ABS(-71.17167) - INT(ABS(-71.17167)))*60))*60), " 0''")</f>
        <v>-71°c c10  18</v>
      </c>
    </row>
    <row r="447" spans="1:10">
      <c r="A447" t="s">
        <v>10</v>
      </c>
      <c r="B447" s="2">
        <v>1200</v>
      </c>
      <c r="C447" t="s">
        <v>11</v>
      </c>
      <c r="D447" t="s">
        <v>1059</v>
      </c>
      <c r="E447" t="s">
        <v>1060</v>
      </c>
      <c r="F447" t="s">
        <v>84</v>
      </c>
      <c r="G447" t="s">
        <v>85</v>
      </c>
      <c r="H447" s="3">
        <v>39828.45208333333</v>
      </c>
      <c r="I447" t="str">
        <f ca="1">TEXT(TRUNC(58.8833333), "0" &amp; CHAR(176) &amp; " ") &amp; TEXT(INT((ABS(58.8833333)- INT(ABS(58.8833333)))*60), "0' ") &amp; TEXT(((((ABS(58.8833333)-INT(ABS(58.8833333)))*60)- INT((ABS(58.8833333) - INT(ABS(58.8833333)))*60))*60), " 0''")</f>
        <v>58°c c52  60</v>
      </c>
      <c r="J447" t="str">
        <f ca="1">TEXT(TRUNC(5.6), "0" &amp; CHAR(176) &amp; " ") &amp; TEXT(INT((ABS(5.6)- INT(ABS(5.6)))*60), "0' ") &amp; TEXT(((((ABS(5.6)-INT(ABS(5.6)))*60)- INT((ABS(5.6) - INT(ABS(5.6)))*60))*60), " 0''")</f>
        <v>5°c c36  0</v>
      </c>
    </row>
    <row r="448" spans="1:10">
      <c r="A448" t="s">
        <v>10</v>
      </c>
      <c r="B448" s="2">
        <v>1200</v>
      </c>
      <c r="C448" t="s">
        <v>24</v>
      </c>
      <c r="D448" t="s">
        <v>46</v>
      </c>
      <c r="E448" t="s">
        <v>1061</v>
      </c>
      <c r="F448" t="s">
        <v>190</v>
      </c>
      <c r="G448" t="s">
        <v>15</v>
      </c>
      <c r="H448" s="3">
        <v>39828.476388888892</v>
      </c>
      <c r="I448" t="str">
        <f ca="1">TEXT(TRUNC(42.33167), "0" &amp; CHAR(176) &amp; " ") &amp; TEXT(INT((ABS(42.33167)- INT(ABS(42.33167)))*60), "0' ") &amp; TEXT(((((ABS(42.33167)-INT(ABS(42.33167)))*60)- INT((ABS(42.33167) - INT(ABS(42.33167)))*60))*60), " 0''")</f>
        <v>42°c c19  54</v>
      </c>
      <c r="J448" t="str">
        <f ca="1">TEXT(TRUNC(-71.12167), "0" &amp; CHAR(176) &amp; " ") &amp; TEXT(INT((ABS(-71.12167)- INT(ABS(-71.12167)))*60), "0' ") &amp; TEXT(((((ABS(-71.12167)-INT(ABS(-71.12167)))*60)- INT((ABS(-71.12167) - INT(ABS(-71.12167)))*60))*60), " 0''")</f>
        <v>-71°c c7  18</v>
      </c>
    </row>
    <row r="449" spans="1:10">
      <c r="A449" t="s">
        <v>10</v>
      </c>
      <c r="B449" s="2">
        <v>1200</v>
      </c>
      <c r="C449" t="s">
        <v>24</v>
      </c>
      <c r="D449" t="s">
        <v>980</v>
      </c>
      <c r="E449" t="s">
        <v>1062</v>
      </c>
      <c r="F449" t="s">
        <v>98</v>
      </c>
      <c r="G449" t="s">
        <v>15</v>
      </c>
      <c r="H449" s="3">
        <v>39828.488194444442</v>
      </c>
      <c r="I449" t="str">
        <f ca="1">TEXT(TRUNC(42.28306), "0" &amp; CHAR(176) &amp; " ") &amp; TEXT(INT((ABS(42.28306)- INT(ABS(42.28306)))*60), "0' ") &amp; TEXT(((((ABS(42.28306)-INT(ABS(42.28306)))*60)- INT((ABS(42.28306) - INT(ABS(42.28306)))*60))*60), " 0''")</f>
        <v>42°c c16  59</v>
      </c>
      <c r="J449" t="str">
        <f ca="1">TEXT(TRUNC(-87.95306), "0" &amp; CHAR(176) &amp; " ") &amp; TEXT(INT((ABS(-87.95306)- INT(ABS(-87.95306)))*60), "0' ") &amp; TEXT(((((ABS(-87.95306)-INT(ABS(-87.95306)))*60)- INT((ABS(-87.95306) - INT(ABS(-87.95306)))*60))*60), " 0''")</f>
        <v>-87°c c57  11</v>
      </c>
    </row>
    <row r="450" spans="1:10">
      <c r="A450" t="s">
        <v>10</v>
      </c>
      <c r="B450" s="2">
        <v>1200</v>
      </c>
      <c r="C450" t="s">
        <v>50</v>
      </c>
      <c r="D450" t="s">
        <v>1063</v>
      </c>
      <c r="E450" t="s">
        <v>272</v>
      </c>
      <c r="F450" t="s">
        <v>53</v>
      </c>
      <c r="G450" t="s">
        <v>54</v>
      </c>
      <c r="H450" s="3">
        <v>39828.489583333336</v>
      </c>
      <c r="I450" t="str">
        <f ca="1">TEXT(TRUNC(51.6666667), "0" &amp; CHAR(176) &amp; " ") &amp; TEXT(INT((ABS(51.6666667)- INT(ABS(51.6666667)))*60), "0' ") &amp; TEXT(((((ABS(51.6666667)-INT(ABS(51.6666667)))*60)- INT((ABS(51.6666667) - INT(ABS(51.6666667)))*60))*60), " 0''")</f>
        <v>51°c c40  0</v>
      </c>
      <c r="J450" t="str">
        <f ca="1">TEXT(TRUNC(-0.4), "0" &amp; CHAR(176) &amp; " ") &amp; TEXT(INT((ABS(-0.4)- INT(ABS(-0.4)))*60), "0' ") &amp; TEXT(((((ABS(-0.4)-INT(ABS(-0.4)))*60)- INT((ABS(-0.4) - INT(ABS(-0.4)))*60))*60), " 0''")</f>
        <v>0°c c24  0</v>
      </c>
    </row>
    <row r="451" spans="1:10">
      <c r="A451" t="s">
        <v>10</v>
      </c>
      <c r="B451" s="2">
        <v>1200</v>
      </c>
      <c r="C451" t="s">
        <v>24</v>
      </c>
      <c r="D451" t="s">
        <v>375</v>
      </c>
      <c r="E451" t="s">
        <v>100</v>
      </c>
      <c r="F451" t="s">
        <v>80</v>
      </c>
      <c r="G451" t="s">
        <v>81</v>
      </c>
      <c r="H451" s="3">
        <v>39828.49722222222</v>
      </c>
      <c r="I451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451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452" spans="1:10">
      <c r="A452" t="s">
        <v>10</v>
      </c>
      <c r="B452" s="2">
        <v>1200</v>
      </c>
      <c r="C452" t="s">
        <v>24</v>
      </c>
      <c r="D452" t="s">
        <v>752</v>
      </c>
      <c r="E452" t="s">
        <v>1064</v>
      </c>
      <c r="F452" t="s">
        <v>95</v>
      </c>
      <c r="G452" t="s">
        <v>81</v>
      </c>
      <c r="H452" s="3">
        <v>39828.498611111114</v>
      </c>
      <c r="I452" t="str">
        <f ca="1">TEXT(TRUNC(45.3333333), "0" &amp; CHAR(176) &amp; " ") &amp; TEXT(INT((ABS(45.3333333)- INT(ABS(45.3333333)))*60), "0' ") &amp; TEXT(((((ABS(45.3333333)-INT(ABS(45.3333333)))*60)- INT((ABS(45.3333333) - INT(ABS(45.3333333)))*60))*60), " 0''")</f>
        <v>45°c c19  60</v>
      </c>
      <c r="J452" t="str">
        <f ca="1">TEXT(TRUNC(-75.9), "0" &amp; CHAR(176) &amp; " ") &amp; TEXT(INT((ABS(-75.9)- INT(ABS(-75.9)))*60), "0' ") &amp; TEXT(((((ABS(-75.9)-INT(ABS(-75.9)))*60)- INT((ABS(-75.9) - INT(ABS(-75.9)))*60))*60), " 0''")</f>
        <v>-75°c c54  0</v>
      </c>
    </row>
    <row r="453" spans="1:10">
      <c r="A453" t="s">
        <v>10</v>
      </c>
      <c r="B453" s="2">
        <v>1200</v>
      </c>
      <c r="C453" t="s">
        <v>24</v>
      </c>
      <c r="D453" t="s">
        <v>1065</v>
      </c>
      <c r="E453" t="s">
        <v>1066</v>
      </c>
      <c r="F453" t="s">
        <v>90</v>
      </c>
      <c r="G453" t="s">
        <v>15</v>
      </c>
      <c r="H453" s="3">
        <v>39828.522916666669</v>
      </c>
      <c r="I453" t="str">
        <f ca="1">TEXT(TRUNC(38.98056), "0" &amp; CHAR(176) &amp; " ") &amp; TEXT(INT((ABS(38.98056)- INT(ABS(38.98056)))*60), "0' ") &amp; TEXT(((((ABS(38.98056)-INT(ABS(38.98056)))*60)- INT((ABS(38.98056) - INT(ABS(38.98056)))*60))*60), " 0''")</f>
        <v>38°c c58  50</v>
      </c>
      <c r="J453" t="str">
        <f ca="1">TEXT(TRUNC(-76.93722), "0" &amp; CHAR(176) &amp; " ") &amp; TEXT(INT((ABS(-76.93722)- INT(ABS(-76.93722)))*60), "0' ") &amp; TEXT(((((ABS(-76.93722)-INT(ABS(-76.93722)))*60)- INT((ABS(-76.93722) - INT(ABS(-76.93722)))*60))*60), " 0''")</f>
        <v>-76°c c56  14</v>
      </c>
    </row>
    <row r="454" spans="1:10">
      <c r="A454" t="s">
        <v>10</v>
      </c>
      <c r="B454" s="2">
        <v>1200</v>
      </c>
      <c r="C454" t="s">
        <v>11</v>
      </c>
      <c r="D454" t="s">
        <v>1067</v>
      </c>
      <c r="E454" t="s">
        <v>1068</v>
      </c>
      <c r="F454" t="s">
        <v>304</v>
      </c>
      <c r="G454" t="s">
        <v>81</v>
      </c>
      <c r="H454" s="3">
        <v>39828.5375</v>
      </c>
      <c r="I454" t="str">
        <f ca="1">TEXT(TRUNC(45.4), "0" &amp; CHAR(176) &amp; " ") &amp; TEXT(INT((ABS(45.4)- INT(ABS(45.4)))*60), "0' ") &amp; TEXT(((((ABS(45.4)-INT(ABS(45.4)))*60)- INT((ABS(45.4) - INT(ABS(45.4)))*60))*60), " 0''")</f>
        <v>45°c c23  60</v>
      </c>
      <c r="J454" t="str">
        <f ca="1">TEXT(TRUNC(-73.9333333), "0" &amp; CHAR(176) &amp; " ") &amp; TEXT(INT((ABS(-73.9333333)- INT(ABS(-73.9333333)))*60), "0' ") &amp; TEXT(((((ABS(-73.9333333)-INT(ABS(-73.9333333)))*60)- INT((ABS(-73.9333333) - INT(ABS(-73.9333333)))*60))*60), " 0''")</f>
        <v>-73°c c55  60</v>
      </c>
    </row>
    <row r="455" spans="1:10">
      <c r="A455" t="s">
        <v>10</v>
      </c>
      <c r="B455" s="2">
        <v>1200</v>
      </c>
      <c r="C455" t="s">
        <v>24</v>
      </c>
      <c r="D455" t="s">
        <v>1069</v>
      </c>
      <c r="E455" t="s">
        <v>780</v>
      </c>
      <c r="F455" t="s">
        <v>45</v>
      </c>
      <c r="G455" t="s">
        <v>15</v>
      </c>
      <c r="H455" s="3">
        <v>39828.640277777777</v>
      </c>
      <c r="I455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455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456" spans="1:10">
      <c r="A456" t="s">
        <v>10</v>
      </c>
      <c r="B456" s="2">
        <v>1200</v>
      </c>
      <c r="C456" t="s">
        <v>24</v>
      </c>
      <c r="D456" t="s">
        <v>585</v>
      </c>
      <c r="E456" t="s">
        <v>87</v>
      </c>
      <c r="F456" t="s">
        <v>53</v>
      </c>
      <c r="G456" t="s">
        <v>54</v>
      </c>
      <c r="H456" s="3">
        <v>39828.643055555556</v>
      </c>
      <c r="I456" t="str">
        <f ca="1">TEXT(TRUNC(53.5833333), "0" &amp; CHAR(176) &amp; " ") &amp; TEXT(INT((ABS(53.5833333)- INT(ABS(53.5833333)))*60), "0' ") &amp; TEXT(((((ABS(53.5833333)-INT(ABS(53.5833333)))*60)- INT((ABS(53.5833333) - INT(ABS(53.5833333)))*60))*60), " 0''")</f>
        <v>53°c c34  60</v>
      </c>
      <c r="J456" t="str">
        <f ca="1">TEXT(TRUNC(-2.4333333), "0" &amp; CHAR(176) &amp; " ") &amp; TEXT(INT((ABS(-2.4333333)- INT(ABS(-2.4333333)))*60), "0' ") &amp; TEXT(((((ABS(-2.4333333)-INT(ABS(-2.4333333)))*60)- INT((ABS(-2.4333333) - INT(ABS(-2.4333333)))*60))*60), " 0''")</f>
        <v>-2°c c25  60</v>
      </c>
    </row>
    <row r="457" spans="1:10">
      <c r="A457" t="s">
        <v>10</v>
      </c>
      <c r="B457" s="2">
        <v>1200</v>
      </c>
      <c r="C457" t="s">
        <v>33</v>
      </c>
      <c r="D457" t="s">
        <v>1070</v>
      </c>
      <c r="E457" t="s">
        <v>1071</v>
      </c>
      <c r="F457" t="s">
        <v>57</v>
      </c>
      <c r="G457" t="s">
        <v>15</v>
      </c>
      <c r="H457" s="3">
        <v>39828.663888888892</v>
      </c>
      <c r="I457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457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458" spans="1:10">
      <c r="A458" t="s">
        <v>10</v>
      </c>
      <c r="B458" s="2">
        <v>1200</v>
      </c>
      <c r="C458" t="s">
        <v>50</v>
      </c>
      <c r="D458" t="s">
        <v>1077</v>
      </c>
      <c r="E458" t="s">
        <v>1078</v>
      </c>
      <c r="F458" t="s">
        <v>391</v>
      </c>
      <c r="G458" t="s">
        <v>15</v>
      </c>
      <c r="H458" s="3">
        <v>39828.758333333331</v>
      </c>
      <c r="I458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458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459" spans="1:10">
      <c r="A459" t="s">
        <v>10</v>
      </c>
      <c r="B459" s="2">
        <v>1200</v>
      </c>
      <c r="C459" t="s">
        <v>24</v>
      </c>
      <c r="D459" t="s">
        <v>633</v>
      </c>
      <c r="E459" t="s">
        <v>94</v>
      </c>
      <c r="F459" t="s">
        <v>95</v>
      </c>
      <c r="G459" t="s">
        <v>81</v>
      </c>
      <c r="H459" s="3">
        <v>39828.911805555559</v>
      </c>
      <c r="I459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459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460" spans="1:10">
      <c r="A460" t="s">
        <v>10</v>
      </c>
      <c r="B460" s="2">
        <v>1200</v>
      </c>
      <c r="C460" t="s">
        <v>24</v>
      </c>
      <c r="D460" t="s">
        <v>788</v>
      </c>
      <c r="E460" t="s">
        <v>436</v>
      </c>
      <c r="F460" t="s">
        <v>436</v>
      </c>
      <c r="G460" t="s">
        <v>437</v>
      </c>
      <c r="H460" s="3">
        <v>39829.07708333333</v>
      </c>
      <c r="I460" t="str">
        <f ca="1">TEXT(TRUNC(48.2), "0" &amp; CHAR(176) &amp; " ") &amp; TEXT(INT((ABS(48.2)- INT(ABS(48.2)))*60), "0' ") &amp; TEXT(((((ABS(48.2)-INT(ABS(48.2)))*60)- INT((ABS(48.2) - INT(ABS(48.2)))*60))*60), " 0''")</f>
        <v>48°c c12  0</v>
      </c>
      <c r="J460" t="str">
        <f ca="1">TEXT(TRUNC(16.3666667), "0" &amp; CHAR(176) &amp; " ") &amp; TEXT(INT((ABS(16.3666667)- INT(ABS(16.3666667)))*60), "0' ") &amp; TEXT(((((ABS(16.3666667)-INT(ABS(16.3666667)))*60)- INT((ABS(16.3666667) - INT(ABS(16.3666667)))*60))*60), " 0''")</f>
        <v>16°c c22  0</v>
      </c>
    </row>
    <row r="461" spans="1:10">
      <c r="A461" t="s">
        <v>10</v>
      </c>
      <c r="B461" s="2">
        <v>1200</v>
      </c>
      <c r="C461" t="s">
        <v>33</v>
      </c>
      <c r="D461" t="s">
        <v>25</v>
      </c>
      <c r="E461" t="s">
        <v>1083</v>
      </c>
      <c r="F461" t="s">
        <v>1084</v>
      </c>
      <c r="G461" t="s">
        <v>174</v>
      </c>
      <c r="H461" s="3">
        <v>39829.213194444441</v>
      </c>
      <c r="I461" t="str">
        <f ca="1">TEXT(TRUNC(47.9666667), "0" &amp; CHAR(176) &amp; " ") &amp; TEXT(INT((ABS(47.9666667)- INT(ABS(47.9666667)))*60), "0' ") &amp; TEXT(((((ABS(47.9666667)-INT(ABS(47.9666667)))*60)- INT((ABS(47.9666667) - INT(ABS(47.9666667)))*60))*60), " 0''")</f>
        <v>47°c c58  0</v>
      </c>
      <c r="J461" t="str">
        <f ca="1">TEXT(TRUNC(-0.2333333), "0" &amp; CHAR(176) &amp; " ") &amp; TEXT(INT((ABS(-0.2333333)- INT(ABS(-0.2333333)))*60), "0' ") &amp; TEXT(((((ABS(-0.2333333)-INT(ABS(-0.2333333)))*60)- INT((ABS(-0.2333333) - INT(ABS(-0.2333333)))*60))*60), " 0''")</f>
        <v>0°c c13  60</v>
      </c>
    </row>
    <row r="462" spans="1:10">
      <c r="A462" t="s">
        <v>10</v>
      </c>
      <c r="B462" s="2">
        <v>1200</v>
      </c>
      <c r="C462" t="s">
        <v>11</v>
      </c>
      <c r="D462" t="s">
        <v>1034</v>
      </c>
      <c r="E462" t="s">
        <v>1087</v>
      </c>
      <c r="F462" t="s">
        <v>591</v>
      </c>
      <c r="G462" t="s">
        <v>23</v>
      </c>
      <c r="H462" s="3">
        <v>39829.25277777778</v>
      </c>
      <c r="I462" t="str">
        <f ca="1">TEXT(TRUNC(48.2833333), "0" &amp; CHAR(176) &amp; " ") &amp; TEXT(INT((ABS(48.2833333)- INT(ABS(48.2833333)))*60), "0' ") &amp; TEXT(((((ABS(48.2833333)-INT(ABS(48.2833333)))*60)- INT((ABS(48.2833333) - INT(ABS(48.2833333)))*60))*60), " 0''")</f>
        <v>48°c c16  60</v>
      </c>
      <c r="J462" t="str">
        <f ca="1">TEXT(TRUNC(9.7333333), "0" &amp; CHAR(176) &amp; " ") &amp; TEXT(INT((ABS(9.7333333)- INT(ABS(9.7333333)))*60), "0' ") &amp; TEXT(((((ABS(9.7333333)-INT(ABS(9.7333333)))*60)- INT((ABS(9.7333333) - INT(ABS(9.7333333)))*60))*60), " 0''")</f>
        <v>9°c c43  60</v>
      </c>
    </row>
    <row r="463" spans="1:10">
      <c r="A463" t="s">
        <v>10</v>
      </c>
      <c r="B463" s="2">
        <v>1200</v>
      </c>
      <c r="C463" t="s">
        <v>11</v>
      </c>
      <c r="D463" t="s">
        <v>1088</v>
      </c>
      <c r="E463" t="s">
        <v>1089</v>
      </c>
      <c r="F463" t="s">
        <v>369</v>
      </c>
      <c r="G463" t="s">
        <v>370</v>
      </c>
      <c r="H463" s="3">
        <v>39829.259027777778</v>
      </c>
      <c r="I463" t="str">
        <f ca="1">TEXT(TRUNC(-26.1833333), "0" &amp; CHAR(176) &amp; " ") &amp; TEXT(INT((ABS(-26.1833333)- INT(ABS(-26.1833333)))*60), "0' ") &amp; TEXT(((((ABS(-26.1833333)-INT(ABS(-26.1833333)))*60)- INT((ABS(-26.1833333) - INT(ABS(-26.1833333)))*60))*60), " 0''")</f>
        <v>-26°c c10  60</v>
      </c>
      <c r="J463" t="str">
        <f ca="1">TEXT(TRUNC(28.3166667), "0" &amp; CHAR(176) &amp; " ") &amp; TEXT(INT((ABS(28.3166667)- INT(ABS(28.3166667)))*60), "0' ") &amp; TEXT(((((ABS(28.3166667)-INT(ABS(28.3166667)))*60)- INT((ABS(28.3166667) - INT(ABS(28.3166667)))*60))*60), " 0''")</f>
        <v>28°c c19  0</v>
      </c>
    </row>
    <row r="464" spans="1:10">
      <c r="A464" t="s">
        <v>10</v>
      </c>
      <c r="B464" s="2">
        <v>2100</v>
      </c>
      <c r="C464" t="s">
        <v>11</v>
      </c>
      <c r="D464" t="s">
        <v>1092</v>
      </c>
      <c r="E464" t="s">
        <v>1093</v>
      </c>
      <c r="F464" t="s">
        <v>14</v>
      </c>
      <c r="G464" t="s">
        <v>15</v>
      </c>
      <c r="H464" s="3">
        <v>39829.30625</v>
      </c>
      <c r="I464" t="str">
        <f ca="1">TEXT(TRUNC(41.37222), "0" &amp; CHAR(176) &amp; " ") &amp; TEXT(INT((ABS(41.37222)- INT(ABS(41.37222)))*60), "0' ") &amp; TEXT(((((ABS(41.37222)-INT(ABS(41.37222)))*60)- INT((ABS(41.37222) - INT(ABS(41.37222)))*60))*60), " 0''")</f>
        <v>41°c c22  20</v>
      </c>
      <c r="J464" t="str">
        <f ca="1">TEXT(TRUNC(-73.73389), "0" &amp; CHAR(176) &amp; " ") &amp; TEXT(INT((ABS(-73.73389)- INT(ABS(-73.73389)))*60), "0' ") &amp; TEXT(((((ABS(-73.73389)-INT(ABS(-73.73389)))*60)- INT((ABS(-73.73389) - INT(ABS(-73.73389)))*60))*60), " 0''")</f>
        <v>-73°c c44  2</v>
      </c>
    </row>
    <row r="465" spans="1:10">
      <c r="A465" t="s">
        <v>10</v>
      </c>
      <c r="B465" s="2">
        <v>1200</v>
      </c>
      <c r="C465" t="s">
        <v>50</v>
      </c>
      <c r="D465" t="s">
        <v>1094</v>
      </c>
      <c r="E465" t="s">
        <v>590</v>
      </c>
      <c r="F465" t="s">
        <v>591</v>
      </c>
      <c r="G465" t="s">
        <v>23</v>
      </c>
      <c r="H465" s="3">
        <v>39829.315972222219</v>
      </c>
      <c r="I465" t="str">
        <f ca="1">TEXT(TRUNC(48.7666667), "0" &amp; CHAR(176) &amp; " ") &amp; TEXT(INT((ABS(48.7666667)- INT(ABS(48.7666667)))*60), "0' ") &amp; TEXT(((((ABS(48.7666667)-INT(ABS(48.7666667)))*60)- INT((ABS(48.7666667) - INT(ABS(48.7666667)))*60))*60), " 0''")</f>
        <v>48°c c46  0</v>
      </c>
      <c r="J465" t="str">
        <f ca="1">TEXT(TRUNC(9.1833333), "0" &amp; CHAR(176) &amp; " ") &amp; TEXT(INT((ABS(9.1833333)- INT(ABS(9.1833333)))*60), "0' ") &amp; TEXT(((((ABS(9.1833333)-INT(ABS(9.1833333)))*60)- INT((ABS(9.1833333) - INT(ABS(9.1833333)))*60))*60), " 0''")</f>
        <v>9°c c10  60</v>
      </c>
    </row>
    <row r="466" spans="1:10">
      <c r="A466" t="s">
        <v>10</v>
      </c>
      <c r="B466" s="2">
        <v>1200</v>
      </c>
      <c r="C466" t="s">
        <v>33</v>
      </c>
      <c r="D466" t="s">
        <v>1095</v>
      </c>
      <c r="E466" t="s">
        <v>269</v>
      </c>
      <c r="F466" t="s">
        <v>270</v>
      </c>
      <c r="G466" t="s">
        <v>31</v>
      </c>
      <c r="H466" s="3">
        <v>39829.331944444442</v>
      </c>
      <c r="I466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66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67" spans="1:10">
      <c r="A467" t="s">
        <v>10</v>
      </c>
      <c r="B467" s="2">
        <v>1200</v>
      </c>
      <c r="C467" t="s">
        <v>24</v>
      </c>
      <c r="D467" t="s">
        <v>1096</v>
      </c>
      <c r="E467" t="s">
        <v>1097</v>
      </c>
      <c r="F467" t="s">
        <v>57</v>
      </c>
      <c r="G467" t="s">
        <v>15</v>
      </c>
      <c r="H467" s="3">
        <v>39829.352777777778</v>
      </c>
      <c r="I467" t="str">
        <f ca="1">TEXT(TRUNC(38.58917), "0" &amp; CHAR(176) &amp; " ") &amp; TEXT(INT((ABS(38.58917)- INT(ABS(38.58917)))*60), "0' ") &amp; TEXT(((((ABS(38.58917)-INT(ABS(38.58917)))*60)- INT((ABS(38.58917) - INT(ABS(38.58917)))*60))*60), " 0''")</f>
        <v>38°c c35  21</v>
      </c>
      <c r="J467" t="str">
        <f ca="1">TEXT(TRUNC(-121.30167), "0" &amp; CHAR(176) &amp; " ") &amp; TEXT(INT((ABS(-121.30167)- INT(ABS(-121.30167)))*60), "0' ") &amp; TEXT(((((ABS(-121.30167)-INT(ABS(-121.30167)))*60)- INT((ABS(-121.30167) - INT(ABS(-121.30167)))*60))*60), " 0''")</f>
        <v>-121°c c18  6</v>
      </c>
    </row>
    <row r="468" spans="1:10">
      <c r="A468" t="s">
        <v>10</v>
      </c>
      <c r="B468" s="2">
        <v>1200</v>
      </c>
      <c r="C468" t="s">
        <v>11</v>
      </c>
      <c r="D468" t="s">
        <v>1098</v>
      </c>
      <c r="E468" t="s">
        <v>1099</v>
      </c>
      <c r="F468" t="s">
        <v>1100</v>
      </c>
      <c r="G468" t="s">
        <v>370</v>
      </c>
      <c r="H468" s="3">
        <v>39829.4125</v>
      </c>
      <c r="I468" t="str">
        <f ca="1">TEXT(TRUNC(-29.85), "0" &amp; CHAR(176) &amp; " ") &amp; TEXT(INT((ABS(-29.85)- INT(ABS(-29.85)))*60), "0' ") &amp; TEXT(((((ABS(-29.85)-INT(ABS(-29.85)))*60)- INT((ABS(-29.85) - INT(ABS(-29.85)))*60))*60), " 0''")</f>
        <v>-29°c c51  0</v>
      </c>
      <c r="J468" t="str">
        <f ca="1">TEXT(TRUNC(31.0166667), "0" &amp; CHAR(176) &amp; " ") &amp; TEXT(INT((ABS(31.0166667)- INT(ABS(31.0166667)))*60), "0' ") &amp; TEXT(((((ABS(31.0166667)-INT(ABS(31.0166667)))*60)- INT((ABS(31.0166667) - INT(ABS(31.0166667)))*60))*60), " 0''")</f>
        <v>31°c c1  0</v>
      </c>
    </row>
    <row r="469" spans="1:10">
      <c r="A469" t="s">
        <v>10</v>
      </c>
      <c r="B469" s="2">
        <v>1200</v>
      </c>
      <c r="C469" t="s">
        <v>11</v>
      </c>
      <c r="D469" t="s">
        <v>1101</v>
      </c>
      <c r="E469" t="s">
        <v>1102</v>
      </c>
      <c r="F469" t="s">
        <v>27</v>
      </c>
      <c r="G469" t="s">
        <v>15</v>
      </c>
      <c r="H469" s="3">
        <v>39829.435416666667</v>
      </c>
      <c r="I469" t="str">
        <f ca="1">TEXT(TRUNC(30.38806), "0" &amp; CHAR(176) &amp; " ") &amp; TEXT(INT((ABS(30.38806)- INT(ABS(30.38806)))*60), "0' ") &amp; TEXT(((((ABS(30.38806)-INT(ABS(30.38806)))*60)- INT((ABS(30.38806) - INT(ABS(30.38806)))*60))*60), " 0''")</f>
        <v>30°c c23  17</v>
      </c>
      <c r="J469" t="str">
        <f ca="1">TEXT(TRUNC(-95.69611), "0" &amp; CHAR(176) &amp; " ") &amp; TEXT(INT((ABS(-95.69611)- INT(ABS(-95.69611)))*60), "0' ") &amp; TEXT(((((ABS(-95.69611)-INT(ABS(-95.69611)))*60)- INT((ABS(-95.69611) - INT(ABS(-95.69611)))*60))*60), " 0''")</f>
        <v>-95°c c41  46</v>
      </c>
    </row>
    <row r="470" spans="1:10">
      <c r="A470" t="s">
        <v>10</v>
      </c>
      <c r="B470" s="2">
        <v>1200</v>
      </c>
      <c r="C470" t="s">
        <v>24</v>
      </c>
      <c r="D470" t="s">
        <v>1103</v>
      </c>
      <c r="E470" t="s">
        <v>1104</v>
      </c>
      <c r="F470" t="s">
        <v>1105</v>
      </c>
      <c r="G470" t="s">
        <v>19</v>
      </c>
      <c r="H470" s="3">
        <v>39829.456944444442</v>
      </c>
      <c r="I470" t="str">
        <f ca="1">TEXT(TRUNC(55.4333333), "0" &amp; CHAR(176) &amp; " ") &amp; TEXT(INT((ABS(55.4333333)- INT(ABS(55.4333333)))*60), "0' ") &amp; TEXT(((((ABS(55.4333333)-INT(ABS(55.4333333)))*60)- INT((ABS(55.4333333) - INT(ABS(55.4333333)))*60))*60), " 0''")</f>
        <v>55°c c25  60</v>
      </c>
      <c r="J470" t="str">
        <f ca="1">TEXT(TRUNC(11.5666667), "0" &amp; CHAR(176) &amp; " ") &amp; TEXT(INT((ABS(11.5666667)- INT(ABS(11.5666667)))*60), "0' ") &amp; TEXT(((((ABS(11.5666667)-INT(ABS(11.5666667)))*60)- INT((ABS(11.5666667) - INT(ABS(11.5666667)))*60))*60), " 0''")</f>
        <v>11°c c34  0</v>
      </c>
    </row>
    <row r="471" spans="1:10">
      <c r="A471" t="s">
        <v>10</v>
      </c>
      <c r="B471" s="2">
        <v>1200</v>
      </c>
      <c r="C471" t="s">
        <v>11</v>
      </c>
      <c r="D471" t="s">
        <v>1106</v>
      </c>
      <c r="E471" t="s">
        <v>1107</v>
      </c>
      <c r="F471" t="s">
        <v>190</v>
      </c>
      <c r="G471" t="s">
        <v>15</v>
      </c>
      <c r="H471" s="3">
        <v>39829.492361111108</v>
      </c>
      <c r="I471" t="str">
        <f ca="1">TEXT(TRUNC(42.65833), "0" &amp; CHAR(176) &amp; " ") &amp; TEXT(INT((ABS(42.65833)- INT(ABS(42.65833)))*60), "0' ") &amp; TEXT(((((ABS(42.65833)-INT(ABS(42.65833)))*60)- INT((ABS(42.65833) - INT(ABS(42.65833)))*60))*60), " 0''")</f>
        <v>42°c c39  30</v>
      </c>
      <c r="J471" t="str">
        <f ca="1">TEXT(TRUNC(-71.1375), "0" &amp; CHAR(176) &amp; " ") &amp; TEXT(INT((ABS(-71.1375)- INT(ABS(-71.1375)))*60), "0' ") &amp; TEXT(((((ABS(-71.1375)-INT(ABS(-71.1375)))*60)- INT((ABS(-71.1375) - INT(ABS(-71.1375)))*60))*60), " 0''")</f>
        <v>-71°c c8  15</v>
      </c>
    </row>
    <row r="472" spans="1:10">
      <c r="A472" t="s">
        <v>10</v>
      </c>
      <c r="B472" s="2">
        <v>1200</v>
      </c>
      <c r="C472" t="s">
        <v>24</v>
      </c>
      <c r="D472" t="s">
        <v>1108</v>
      </c>
      <c r="E472" t="s">
        <v>118</v>
      </c>
      <c r="F472" t="s">
        <v>53</v>
      </c>
      <c r="G472" t="s">
        <v>54</v>
      </c>
      <c r="H472" s="3">
        <v>39829.532638888886</v>
      </c>
      <c r="I472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472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473" spans="1:10">
      <c r="A473" t="s">
        <v>10</v>
      </c>
      <c r="B473" s="2">
        <v>1200</v>
      </c>
      <c r="C473" t="s">
        <v>24</v>
      </c>
      <c r="D473" t="s">
        <v>990</v>
      </c>
      <c r="E473" t="s">
        <v>577</v>
      </c>
      <c r="F473" t="s">
        <v>578</v>
      </c>
      <c r="G473" t="s">
        <v>42</v>
      </c>
      <c r="H473" s="3">
        <v>39829.565972222219</v>
      </c>
      <c r="I473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473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474" spans="1:10">
      <c r="A474" t="s">
        <v>10</v>
      </c>
      <c r="B474" s="2">
        <v>1200</v>
      </c>
      <c r="C474" t="s">
        <v>24</v>
      </c>
      <c r="D474" t="s">
        <v>1109</v>
      </c>
      <c r="E474" t="s">
        <v>1110</v>
      </c>
      <c r="F474" t="s">
        <v>27</v>
      </c>
      <c r="G474" t="s">
        <v>15</v>
      </c>
      <c r="H474" s="3">
        <v>39829.736805555556</v>
      </c>
      <c r="I474" t="str">
        <f ca="1">TEXT(TRUNC(30.07972), "0" &amp; CHAR(176) &amp; " ") &amp; TEXT(INT((ABS(30.07972)- INT(ABS(30.07972)))*60), "0' ") &amp; TEXT(((((ABS(30.07972)-INT(ABS(30.07972)))*60)- INT((ABS(30.07972) - INT(ABS(30.07972)))*60))*60), " 0''")</f>
        <v>30°c c4  47</v>
      </c>
      <c r="J474" t="str">
        <f ca="1">TEXT(TRUNC(-95.41694), "0" &amp; CHAR(176) &amp; " ") &amp; TEXT(INT((ABS(-95.41694)- INT(ABS(-95.41694)))*60), "0' ") &amp; TEXT(((((ABS(-95.41694)-INT(ABS(-95.41694)))*60)- INT((ABS(-95.41694) - INT(ABS(-95.41694)))*60))*60), " 0''")</f>
        <v>-95°c c25  1</v>
      </c>
    </row>
    <row r="475" spans="1:10">
      <c r="A475" t="s">
        <v>10</v>
      </c>
      <c r="B475" s="2">
        <v>1200</v>
      </c>
      <c r="C475" t="s">
        <v>11</v>
      </c>
      <c r="D475" t="s">
        <v>585</v>
      </c>
      <c r="E475" t="s">
        <v>1111</v>
      </c>
      <c r="F475" t="s">
        <v>27</v>
      </c>
      <c r="G475" t="s">
        <v>15</v>
      </c>
      <c r="H475" s="3">
        <v>39829.74722222222</v>
      </c>
      <c r="I475" t="str">
        <f ca="1">TEXT(TRUNC(32.95444), "0" &amp; CHAR(176) &amp; " ") &amp; TEXT(INT((ABS(32.95444)- INT(ABS(32.95444)))*60), "0' ") &amp; TEXT(((((ABS(32.95444)-INT(ABS(32.95444)))*60)- INT((ABS(32.95444) - INT(ABS(32.95444)))*60))*60), " 0''")</f>
        <v>32°c c57  16</v>
      </c>
      <c r="J475" t="str">
        <f ca="1">TEXT(TRUNC(-97.01472), "0" &amp; CHAR(176) &amp; " ") &amp; TEXT(INT((ABS(-97.01472)- INT(ABS(-97.01472)))*60), "0' ") &amp; TEXT(((((ABS(-97.01472)-INT(ABS(-97.01472)))*60)- INT((ABS(-97.01472) - INT(ABS(-97.01472)))*60))*60), " 0''")</f>
        <v>-97°c c0  53</v>
      </c>
    </row>
    <row r="476" spans="1:10">
      <c r="A476" t="s">
        <v>10</v>
      </c>
      <c r="B476" s="2">
        <v>1200</v>
      </c>
      <c r="C476" t="s">
        <v>24</v>
      </c>
      <c r="D476" t="s">
        <v>366</v>
      </c>
      <c r="E476" t="s">
        <v>1112</v>
      </c>
      <c r="F476" t="s">
        <v>267</v>
      </c>
      <c r="G476" t="s">
        <v>49</v>
      </c>
      <c r="H476" s="3">
        <v>39829.775</v>
      </c>
      <c r="I476" t="str">
        <f ca="1">TEXT(TRUNC(-34.4333333), "0" &amp; CHAR(176) &amp; " ") &amp; TEXT(INT((ABS(-34.4333333)- INT(ABS(-34.4333333)))*60), "0' ") &amp; TEXT(((((ABS(-34.4333333)-INT(ABS(-34.4333333)))*60)- INT((ABS(-34.4333333) - INT(ABS(-34.4333333)))*60))*60), " 0''")</f>
        <v>-34°c c25  60</v>
      </c>
      <c r="J476" t="str">
        <f ca="1">TEXT(TRUNC(150.8833333), "0" &amp; CHAR(176) &amp; " ") &amp; TEXT(INT((ABS(150.8833333)- INT(ABS(150.8833333)))*60), "0' ") &amp; TEXT(((((ABS(150.8833333)-INT(ABS(150.8833333)))*60)- INT((ABS(150.8833333) - INT(ABS(150.8833333)))*60))*60), " 0''")</f>
        <v>150°c c52  60</v>
      </c>
    </row>
    <row r="477" spans="1:10">
      <c r="A477" t="s">
        <v>10</v>
      </c>
      <c r="B477" s="2">
        <v>1200</v>
      </c>
      <c r="C477" t="s">
        <v>50</v>
      </c>
      <c r="D477" t="s">
        <v>588</v>
      </c>
      <c r="E477" t="s">
        <v>740</v>
      </c>
      <c r="F477" t="s">
        <v>476</v>
      </c>
      <c r="G477" t="s">
        <v>15</v>
      </c>
      <c r="H477" s="3">
        <v>39829.800694444442</v>
      </c>
      <c r="I477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477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478" spans="1:10">
      <c r="A478" t="s">
        <v>10</v>
      </c>
      <c r="B478" s="2">
        <v>1200</v>
      </c>
      <c r="C478" t="s">
        <v>33</v>
      </c>
      <c r="D478" t="s">
        <v>997</v>
      </c>
      <c r="E478" t="s">
        <v>628</v>
      </c>
      <c r="F478" t="s">
        <v>57</v>
      </c>
      <c r="G478" t="s">
        <v>15</v>
      </c>
      <c r="H478" s="3">
        <v>39829.824305555558</v>
      </c>
      <c r="I478" t="str">
        <f ca="1">TEXT(TRUNC(37.22667), "0" &amp; CHAR(176) &amp; " ") &amp; TEXT(INT((ABS(37.22667)- INT(ABS(37.22667)))*60), "0' ") &amp; TEXT(((((ABS(37.22667)-INT(ABS(37.22667)))*60)- INT((ABS(37.22667) - INT(ABS(37.22667)))*60))*60), " 0''")</f>
        <v>37°c c13  36</v>
      </c>
      <c r="J478" t="str">
        <f ca="1">TEXT(TRUNC(-121.97361), "0" &amp; CHAR(176) &amp; " ") &amp; TEXT(INT((ABS(-121.97361)- INT(ABS(-121.97361)))*60), "0' ") &amp; TEXT(((((ABS(-121.97361)-INT(ABS(-121.97361)))*60)- INT((ABS(-121.97361) - INT(ABS(-121.97361)))*60))*60), " 0''")</f>
        <v>-121°c c58  25</v>
      </c>
    </row>
    <row r="479" spans="1:10">
      <c r="A479" t="s">
        <v>10</v>
      </c>
      <c r="B479" s="2">
        <v>1200</v>
      </c>
      <c r="C479" t="s">
        <v>33</v>
      </c>
      <c r="D479" t="s">
        <v>1113</v>
      </c>
      <c r="E479" t="s">
        <v>1114</v>
      </c>
      <c r="G479" t="s">
        <v>1115</v>
      </c>
      <c r="H479" s="3">
        <v>39830.057638888888</v>
      </c>
      <c r="I479" t="str">
        <f ca="1">TEXT(TRUNC(29.2891667), "0" &amp; CHAR(176) &amp; " ") &amp; TEXT(INT((ABS(29.2891667)- INT(ABS(29.2891667)))*60), "0' ") &amp; TEXT(((((ABS(29.2891667)-INT(ABS(29.2891667)))*60)- INT((ABS(29.2891667) - INT(ABS(29.2891667)))*60))*60), " 0''")</f>
        <v>29°c c17  21</v>
      </c>
      <c r="J479" t="str">
        <f ca="1">TEXT(TRUNC(48.05), "0" &amp; CHAR(176) &amp; " ") &amp; TEXT(INT((ABS(48.05)- INT(ABS(48.05)))*60), "0' ") &amp; TEXT(((((ABS(48.05)-INT(ABS(48.05)))*60)- INT((ABS(48.05) - INT(ABS(48.05)))*60))*60), " 0''")</f>
        <v>48°c c2  60</v>
      </c>
    </row>
    <row r="480" spans="1:10">
      <c r="A480" t="s">
        <v>10</v>
      </c>
      <c r="B480" s="2">
        <v>1200</v>
      </c>
      <c r="C480" t="s">
        <v>11</v>
      </c>
      <c r="D480" t="s">
        <v>1116</v>
      </c>
      <c r="E480" t="s">
        <v>269</v>
      </c>
      <c r="F480" t="s">
        <v>270</v>
      </c>
      <c r="G480" t="s">
        <v>31</v>
      </c>
      <c r="H480" s="3">
        <v>39830.075694444444</v>
      </c>
      <c r="I480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80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81" spans="1:10">
      <c r="A481" t="s">
        <v>10</v>
      </c>
      <c r="B481" s="2">
        <v>1200</v>
      </c>
      <c r="C481" t="s">
        <v>24</v>
      </c>
      <c r="D481" t="s">
        <v>782</v>
      </c>
      <c r="E481" t="s">
        <v>1117</v>
      </c>
      <c r="F481" t="s">
        <v>57</v>
      </c>
      <c r="G481" t="s">
        <v>15</v>
      </c>
      <c r="H481" s="3">
        <v>39830.140277777777</v>
      </c>
      <c r="I481" t="str">
        <f ca="1">TEXT(TRUNC(36.74778), "0" &amp; CHAR(176) &amp; " ") &amp; TEXT(INT((ABS(36.74778)- INT(ABS(36.74778)))*60), "0' ") &amp; TEXT(((((ABS(36.74778)-INT(ABS(36.74778)))*60)- INT((ABS(36.74778) - INT(ABS(36.74778)))*60))*60), " 0''")</f>
        <v>36°c c44  52</v>
      </c>
      <c r="J481" t="str">
        <f ca="1">TEXT(TRUNC(-119.77139), "0" &amp; CHAR(176) &amp; " ") &amp; TEXT(INT((ABS(-119.77139)- INT(ABS(-119.77139)))*60), "0' ") &amp; TEXT(((((ABS(-119.77139)-INT(ABS(-119.77139)))*60)- INT((ABS(-119.77139) - INT(ABS(-119.77139)))*60))*60), " 0''")</f>
        <v>-119°c c46  17</v>
      </c>
    </row>
    <row r="482" spans="1:10">
      <c r="A482" t="s">
        <v>10</v>
      </c>
      <c r="B482" s="2">
        <v>1200</v>
      </c>
      <c r="C482" t="s">
        <v>24</v>
      </c>
      <c r="D482" t="s">
        <v>1118</v>
      </c>
      <c r="E482" t="s">
        <v>1119</v>
      </c>
      <c r="F482" t="s">
        <v>1120</v>
      </c>
      <c r="G482" t="s">
        <v>1121</v>
      </c>
      <c r="H482" s="3">
        <v>39830.16875</v>
      </c>
      <c r="I482" t="str">
        <f ca="1">TEXT(TRUNC(9.9136111), "0" &amp; CHAR(176) &amp; " ") &amp; TEXT(INT((ABS(9.9136111)- INT(ABS(9.9136111)))*60), "0' ") &amp; TEXT(((((ABS(9.9136111)-INT(ABS(9.9136111)))*60)- INT((ABS(9.9136111) - INT(ABS(9.9136111)))*60))*60), " 0''")</f>
        <v>9°c c54  49</v>
      </c>
      <c r="J482" t="str">
        <f ca="1">TEXT(TRUNC(124.0927778), "0" &amp; CHAR(176) &amp; " ") &amp; TEXT(INT((ABS(124.0927778)- INT(ABS(124.0927778)))*60), "0' ") &amp; TEXT(((((ABS(124.0927778)-INT(ABS(124.0927778)))*60)- INT((ABS(124.0927778) - INT(ABS(124.0927778)))*60))*60), " 0''")</f>
        <v>124°c c5  34</v>
      </c>
    </row>
    <row r="483" spans="1:10">
      <c r="A483" t="s">
        <v>10</v>
      </c>
      <c r="B483" s="2">
        <v>1200</v>
      </c>
      <c r="C483" t="s">
        <v>24</v>
      </c>
      <c r="D483" t="s">
        <v>1122</v>
      </c>
      <c r="E483" t="s">
        <v>1123</v>
      </c>
      <c r="F483" t="s">
        <v>380</v>
      </c>
      <c r="G483" t="s">
        <v>42</v>
      </c>
      <c r="H483" s="3">
        <v>39830.265972222223</v>
      </c>
      <c r="I483" t="str">
        <f ca="1">TEXT(TRUNC(42.7666667), "0" &amp; CHAR(176) &amp; " ") &amp; TEXT(INT((ABS(42.7666667)- INT(ABS(42.7666667)))*60), "0' ") &amp; TEXT(((((ABS(42.7666667)-INT(ABS(42.7666667)))*60)- INT((ABS(42.7666667) - INT(ABS(42.7666667)))*60))*60), " 0''")</f>
        <v>42°c c46  0</v>
      </c>
      <c r="J483" t="str">
        <f ca="1">TEXT(TRUNC(11.1333333), "0" &amp; CHAR(176) &amp; " ") &amp; TEXT(INT((ABS(11.1333333)- INT(ABS(11.1333333)))*60), "0' ") &amp; TEXT(((((ABS(11.1333333)-INT(ABS(11.1333333)))*60)- INT((ABS(11.1333333) - INT(ABS(11.1333333)))*60))*60), " 0''")</f>
        <v>11°c c7  60</v>
      </c>
    </row>
    <row r="484" spans="1:10">
      <c r="A484" t="s">
        <v>10</v>
      </c>
      <c r="B484" s="2">
        <v>1200</v>
      </c>
      <c r="C484" t="s">
        <v>50</v>
      </c>
      <c r="D484" t="s">
        <v>1124</v>
      </c>
      <c r="E484" t="s">
        <v>1125</v>
      </c>
      <c r="F484" t="s">
        <v>53</v>
      </c>
      <c r="G484" t="s">
        <v>54</v>
      </c>
      <c r="H484" s="3">
        <v>39830.277083333334</v>
      </c>
      <c r="I484" t="str">
        <f ca="1">TEXT(TRUNC(52.4666667), "0" &amp; CHAR(176) &amp; " ") &amp; TEXT(INT((ABS(52.4666667)- INT(ABS(52.4666667)))*60), "0' ") &amp; TEXT(((((ABS(52.4666667)-INT(ABS(52.4666667)))*60)- INT((ABS(52.4666667) - INT(ABS(52.4666667)))*60))*60), " 0''")</f>
        <v>52°c c28  0</v>
      </c>
      <c r="J484" t="str">
        <f ca="1">TEXT(TRUNC(-1.9166667), "0" &amp; CHAR(176) &amp; " ") &amp; TEXT(INT((ABS(-1.9166667)- INT(ABS(-1.9166667)))*60), "0' ") &amp; TEXT(((((ABS(-1.9166667)-INT(ABS(-1.9166667)))*60)- INT((ABS(-1.9166667) - INT(ABS(-1.9166667)))*60))*60), " 0''")</f>
        <v>-1°c c55  0</v>
      </c>
    </row>
    <row r="485" spans="1:10">
      <c r="A485" t="s">
        <v>10</v>
      </c>
      <c r="B485" s="2">
        <v>1200</v>
      </c>
      <c r="C485" t="s">
        <v>24</v>
      </c>
      <c r="D485" t="s">
        <v>1126</v>
      </c>
      <c r="E485" t="s">
        <v>1127</v>
      </c>
      <c r="F485" t="s">
        <v>170</v>
      </c>
      <c r="G485" t="s">
        <v>15</v>
      </c>
      <c r="H485" s="3">
        <v>39830.307638888888</v>
      </c>
      <c r="I485" t="str">
        <f ca="1">TEXT(TRUNC(45.52361), "0" &amp; CHAR(176) &amp; " ") &amp; TEXT(INT((ABS(45.52361)- INT(ABS(45.52361)))*60), "0' ") &amp; TEXT(((((ABS(45.52361)-INT(ABS(45.52361)))*60)- INT((ABS(45.52361) - INT(ABS(45.52361)))*60))*60), " 0''")</f>
        <v>45°c c31  25</v>
      </c>
      <c r="J485" t="str">
        <f ca="1">TEXT(TRUNC(-122.675), "0" &amp; CHAR(176) &amp; " ") &amp; TEXT(INT((ABS(-122.675)- INT(ABS(-122.675)))*60), "0' ") &amp; TEXT(((((ABS(-122.675)-INT(ABS(-122.675)))*60)- INT((ABS(-122.675) - INT(ABS(-122.675)))*60))*60), " 0''")</f>
        <v>-122°c c40  30</v>
      </c>
    </row>
    <row r="486" spans="1:10">
      <c r="A486" t="s">
        <v>10</v>
      </c>
      <c r="B486" s="2">
        <v>1200</v>
      </c>
      <c r="C486" t="s">
        <v>33</v>
      </c>
      <c r="D486" t="s">
        <v>216</v>
      </c>
      <c r="E486" t="s">
        <v>1132</v>
      </c>
      <c r="F486" t="s">
        <v>152</v>
      </c>
      <c r="G486" t="s">
        <v>15</v>
      </c>
      <c r="H486" s="3">
        <v>39830.383333333331</v>
      </c>
      <c r="I486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486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487" spans="1:10">
      <c r="A487" t="s">
        <v>10</v>
      </c>
      <c r="B487" s="2">
        <v>1200</v>
      </c>
      <c r="C487" t="s">
        <v>50</v>
      </c>
      <c r="D487" t="s">
        <v>1133</v>
      </c>
      <c r="E487" t="s">
        <v>1134</v>
      </c>
      <c r="F487" t="s">
        <v>1135</v>
      </c>
      <c r="G487" t="s">
        <v>763</v>
      </c>
      <c r="H487" s="3">
        <v>39830.40902777778</v>
      </c>
      <c r="I487" t="str">
        <f ca="1">TEXT(TRUNC(24.4666667), "0" &amp; CHAR(176) &amp; " ") &amp; TEXT(INT((ABS(24.4666667)- INT(ABS(24.4666667)))*60), "0' ") &amp; TEXT(((((ABS(24.4666667)-INT(ABS(24.4666667)))*60)- INT((ABS(24.4666667) - INT(ABS(24.4666667)))*60))*60), " 0''")</f>
        <v>24°c c28  0</v>
      </c>
      <c r="J487" t="str">
        <f ca="1">TEXT(TRUNC(54.3666667), "0" &amp; CHAR(176) &amp; " ") &amp; TEXT(INT((ABS(54.3666667)- INT(ABS(54.3666667)))*60), "0' ") &amp; TEXT(((((ABS(54.3666667)-INT(ABS(54.3666667)))*60)- INT((ABS(54.3666667) - INT(ABS(54.3666667)))*60))*60), " 0''")</f>
        <v>54°c c22  0</v>
      </c>
    </row>
    <row r="488" spans="1:10">
      <c r="A488" t="s">
        <v>10</v>
      </c>
      <c r="B488" s="2">
        <v>1200</v>
      </c>
      <c r="C488" t="s">
        <v>11</v>
      </c>
      <c r="D488" t="s">
        <v>46</v>
      </c>
      <c r="E488" t="s">
        <v>1136</v>
      </c>
      <c r="F488" t="s">
        <v>95</v>
      </c>
      <c r="G488" t="s">
        <v>81</v>
      </c>
      <c r="H488" s="3">
        <v>39830.426388888889</v>
      </c>
      <c r="I488" t="str">
        <f ca="1">TEXT(TRUNC(42.8333333), "0" &amp; CHAR(176) &amp; " ") &amp; TEXT(INT((ABS(42.8333333)- INT(ABS(42.8333333)))*60), "0' ") &amp; TEXT(((((ABS(42.8333333)-INT(ABS(42.8333333)))*60)- INT((ABS(42.8333333) - INT(ABS(42.8333333)))*60))*60), " 0''")</f>
        <v>42°c c49  60</v>
      </c>
      <c r="J488" t="str">
        <f ca="1">TEXT(TRUNC(-80.3), "0" &amp; CHAR(176) &amp; " ") &amp; TEXT(INT((ABS(-80.3)- INT(ABS(-80.3)))*60), "0' ") &amp; TEXT(((((ABS(-80.3)-INT(ABS(-80.3)))*60)- INT((ABS(-80.3) - INT(ABS(-80.3)))*60))*60), " 0''")</f>
        <v>-80°c c17  60</v>
      </c>
    </row>
    <row r="489" spans="1:10">
      <c r="A489" t="s">
        <v>10</v>
      </c>
      <c r="B489" s="2">
        <v>1200</v>
      </c>
      <c r="C489" t="s">
        <v>11</v>
      </c>
      <c r="D489" t="s">
        <v>1137</v>
      </c>
      <c r="E489" t="s">
        <v>1138</v>
      </c>
      <c r="F489" t="s">
        <v>1139</v>
      </c>
      <c r="G489" t="s">
        <v>1014</v>
      </c>
      <c r="H489" s="3">
        <v>39830.464583333334</v>
      </c>
      <c r="I489" t="str">
        <f ca="1">TEXT(TRUNC(-3.7166667), "0" &amp; CHAR(176) &amp; " ") &amp; TEXT(INT((ABS(-3.7166667)- INT(ABS(-3.7166667)))*60), "0' ") &amp; TEXT(((((ABS(-3.7166667)-INT(ABS(-3.7166667)))*60)- INT((ABS(-3.7166667) - INT(ABS(-3.7166667)))*60))*60), " 0''")</f>
        <v>-3°c c43  0</v>
      </c>
      <c r="J489" t="str">
        <f ca="1">TEXT(TRUNC(-38.5), "0" &amp; CHAR(176) &amp; " ") &amp; TEXT(INT((ABS(-38.5)- INT(ABS(-38.5)))*60), "0' ") &amp; TEXT(((((ABS(-38.5)-INT(ABS(-38.5)))*60)- INT((ABS(-38.5) - INT(ABS(-38.5)))*60))*60), " 0''")</f>
        <v>-38°c c30  0</v>
      </c>
    </row>
    <row r="490" spans="1:10">
      <c r="A490" t="s">
        <v>10</v>
      </c>
      <c r="B490" s="2">
        <v>1200</v>
      </c>
      <c r="C490" t="s">
        <v>50</v>
      </c>
      <c r="D490" t="s">
        <v>635</v>
      </c>
      <c r="E490" t="s">
        <v>269</v>
      </c>
      <c r="F490" t="s">
        <v>270</v>
      </c>
      <c r="G490" t="s">
        <v>31</v>
      </c>
      <c r="H490" s="3">
        <v>39830.540972222225</v>
      </c>
      <c r="I490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490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491" spans="1:10">
      <c r="A491" t="s">
        <v>10</v>
      </c>
      <c r="B491" s="2">
        <v>1200</v>
      </c>
      <c r="C491" t="s">
        <v>24</v>
      </c>
      <c r="D491" t="s">
        <v>1063</v>
      </c>
      <c r="E491" t="s">
        <v>1140</v>
      </c>
      <c r="F491" t="s">
        <v>27</v>
      </c>
      <c r="G491" t="s">
        <v>15</v>
      </c>
      <c r="H491" s="3">
        <v>39830.584722222222</v>
      </c>
      <c r="I491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491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492" spans="1:10">
      <c r="A492" t="s">
        <v>10</v>
      </c>
      <c r="B492" s="2">
        <v>1200</v>
      </c>
      <c r="C492" t="s">
        <v>33</v>
      </c>
      <c r="D492" t="s">
        <v>1141</v>
      </c>
      <c r="E492" t="s">
        <v>1142</v>
      </c>
      <c r="F492" t="s">
        <v>14</v>
      </c>
      <c r="G492" t="s">
        <v>15</v>
      </c>
      <c r="H492" s="3">
        <v>39830.5875</v>
      </c>
      <c r="I492" t="str">
        <f ca="1">TEXT(TRUNC(41.20417), "0" &amp; CHAR(176) &amp; " ") &amp; TEXT(INT((ABS(41.20417)- INT(ABS(41.20417)))*60), "0' ") &amp; TEXT(((((ABS(41.20417)-INT(ABS(41.20417)))*60)- INT((ABS(41.20417) - INT(ABS(41.20417)))*60))*60), " 0''")</f>
        <v>41°c c12  15</v>
      </c>
      <c r="J492" t="str">
        <f ca="1">TEXT(TRUNC(-73.7275), "0" &amp; CHAR(176) &amp; " ") &amp; TEXT(INT((ABS(-73.7275)- INT(ABS(-73.7275)))*60), "0' ") &amp; TEXT(((((ABS(-73.7275)-INT(ABS(-73.7275)))*60)- INT((ABS(-73.7275) - INT(ABS(-73.7275)))*60))*60), " 0''")</f>
        <v>-73°c c43  39</v>
      </c>
    </row>
    <row r="493" spans="1:10">
      <c r="A493" t="s">
        <v>10</v>
      </c>
      <c r="B493" s="2">
        <v>1200</v>
      </c>
      <c r="C493" t="s">
        <v>24</v>
      </c>
      <c r="D493" t="s">
        <v>1143</v>
      </c>
      <c r="E493" t="s">
        <v>1144</v>
      </c>
      <c r="F493" t="s">
        <v>27</v>
      </c>
      <c r="G493" t="s">
        <v>15</v>
      </c>
      <c r="H493" s="3">
        <v>39830.625</v>
      </c>
      <c r="I493" t="str">
        <f ca="1">TEXT(TRUNC(29.99861), "0" &amp; CHAR(176) &amp; " ") &amp; TEXT(INT((ABS(29.99861)- INT(ABS(29.99861)))*60), "0' ") &amp; TEXT(((((ABS(29.99861)-INT(ABS(29.99861)))*60)- INT((ABS(29.99861) - INT(ABS(29.99861)))*60))*60), " 0''")</f>
        <v>29°c c59  55</v>
      </c>
      <c r="J493" t="str">
        <f ca="1">TEXT(TRUNC(-95.26194), "0" &amp; CHAR(176) &amp; " ") &amp; TEXT(INT((ABS(-95.26194)- INT(ABS(-95.26194)))*60), "0' ") &amp; TEXT(((((ABS(-95.26194)-INT(ABS(-95.26194)))*60)- INT((ABS(-95.26194) - INT(ABS(-95.26194)))*60))*60), " 0''")</f>
        <v>-95°c c15  43</v>
      </c>
    </row>
    <row r="494" spans="1:10">
      <c r="A494" t="s">
        <v>10</v>
      </c>
      <c r="B494" s="2">
        <v>1200</v>
      </c>
      <c r="C494" t="s">
        <v>24</v>
      </c>
      <c r="D494" t="s">
        <v>1145</v>
      </c>
      <c r="E494" t="s">
        <v>1146</v>
      </c>
      <c r="F494" t="s">
        <v>411</v>
      </c>
      <c r="G494" t="s">
        <v>65</v>
      </c>
      <c r="H494" s="3">
        <v>39830.638194444444</v>
      </c>
      <c r="I494" t="str">
        <f ca="1">TEXT(TRUNC(52.6819444), "0" &amp; CHAR(176) &amp; " ") &amp; TEXT(INT((ABS(52.6819444)- INT(ABS(52.6819444)))*60), "0' ") &amp; TEXT(((((ABS(52.6819444)-INT(ABS(52.6819444)))*60)- INT((ABS(52.6819444) - INT(ABS(52.6819444)))*60))*60), " 0''")</f>
        <v>52°c c40  55</v>
      </c>
      <c r="J494" t="str">
        <f ca="1">TEXT(TRUNC(-7.8022222), "0" &amp; CHAR(176) &amp; " ") &amp; TEXT(INT((ABS(-7.8022222)- INT(ABS(-7.8022222)))*60), "0' ") &amp; TEXT(((((ABS(-7.8022222)-INT(ABS(-7.8022222)))*60)- INT((ABS(-7.8022222) - INT(ABS(-7.8022222)))*60))*60), " 0''")</f>
        <v>-7°c c48  8</v>
      </c>
    </row>
    <row r="495" spans="1:10">
      <c r="A495" t="s">
        <v>10</v>
      </c>
      <c r="B495" s="2">
        <v>1200</v>
      </c>
      <c r="C495" t="s">
        <v>24</v>
      </c>
      <c r="D495" t="s">
        <v>1149</v>
      </c>
      <c r="E495" t="s">
        <v>1150</v>
      </c>
      <c r="F495" t="s">
        <v>179</v>
      </c>
      <c r="G495" t="s">
        <v>15</v>
      </c>
      <c r="H495" s="3">
        <v>39830.681944444441</v>
      </c>
      <c r="I495" t="str">
        <f ca="1">TEXT(TRUNC(40.79861), "0" &amp; CHAR(176) &amp; " ") &amp; TEXT(INT((ABS(40.79861)- INT(ABS(40.79861)))*60), "0' ") &amp; TEXT(((((ABS(40.79861)-INT(ABS(40.79861)))*60)- INT((ABS(40.79861) - INT(ABS(40.79861)))*60))*60), " 0''")</f>
        <v>40°c c47  55</v>
      </c>
      <c r="J495" t="str">
        <f ca="1">TEXT(TRUNC(-74.23944), "0" &amp; CHAR(176) &amp; " ") &amp; TEXT(INT((ABS(-74.23944)- INT(ABS(-74.23944)))*60), "0' ") &amp; TEXT(((((ABS(-74.23944)-INT(ABS(-74.23944)))*60)- INT((ABS(-74.23944) - INT(ABS(-74.23944)))*60))*60), " 0''")</f>
        <v>-74°c c14  22</v>
      </c>
    </row>
    <row r="496" spans="1:10">
      <c r="A496" t="s">
        <v>10</v>
      </c>
      <c r="B496" s="2">
        <v>1200</v>
      </c>
      <c r="C496" t="s">
        <v>33</v>
      </c>
      <c r="D496" t="s">
        <v>1151</v>
      </c>
      <c r="E496" t="s">
        <v>740</v>
      </c>
      <c r="F496" t="s">
        <v>476</v>
      </c>
      <c r="G496" t="s">
        <v>15</v>
      </c>
      <c r="H496" s="3">
        <v>39830.85625</v>
      </c>
      <c r="I496" t="str">
        <f ca="1">TEXT(TRUNC(34.07528), "0" &amp; CHAR(176) &amp; " ") &amp; TEXT(INT((ABS(34.07528)- INT(ABS(34.07528)))*60), "0' ") &amp; TEXT(((((ABS(34.07528)-INT(ABS(34.07528)))*60)- INT((ABS(34.07528) - INT(ABS(34.07528)))*60))*60), " 0''")</f>
        <v>34°c c4  31</v>
      </c>
      <c r="J496" t="str">
        <f ca="1">TEXT(TRUNC(-84.29417), "0" &amp; CHAR(176) &amp; " ") &amp; TEXT(INT((ABS(-84.29417)- INT(ABS(-84.29417)))*60), "0' ") &amp; TEXT(((((ABS(-84.29417)-INT(ABS(-84.29417)))*60)- INT((ABS(-84.29417) - INT(ABS(-84.29417)))*60))*60), " 0''")</f>
        <v>-84°c c17  39</v>
      </c>
    </row>
    <row r="497" spans="1:10">
      <c r="A497" t="s">
        <v>10</v>
      </c>
      <c r="B497" s="2">
        <v>1200</v>
      </c>
      <c r="C497" t="s">
        <v>24</v>
      </c>
      <c r="D497" t="s">
        <v>194</v>
      </c>
      <c r="E497" t="s">
        <v>1153</v>
      </c>
      <c r="F497" t="s">
        <v>596</v>
      </c>
      <c r="G497" t="s">
        <v>597</v>
      </c>
      <c r="H497" s="3">
        <v>39830.86875</v>
      </c>
      <c r="I497" t="str">
        <f ca="1">TEXT(TRUNC(-37.1333333), "0" &amp; CHAR(176) &amp; " ") &amp; TEXT(INT((ABS(-37.1333333)- INT(ABS(-37.1333333)))*60), "0' ") &amp; TEXT(((((ABS(-37.1333333)-INT(ABS(-37.1333333)))*60)- INT((ABS(-37.1333333) - INT(ABS(-37.1333333)))*60))*60), " 0''")</f>
        <v>-37°c c7  60</v>
      </c>
      <c r="J497" t="str">
        <f ca="1">TEXT(TRUNC(174.75), "0" &amp; CHAR(176) &amp; " ") &amp; TEXT(INT((ABS(174.75)- INT(ABS(174.75)))*60), "0' ") &amp; TEXT(((((ABS(174.75)-INT(ABS(174.75)))*60)- INT((ABS(174.75) - INT(ABS(174.75)))*60))*60), " 0''")</f>
        <v>174°c c45  0</v>
      </c>
    </row>
    <row r="498" spans="1:10">
      <c r="A498" t="s">
        <v>10</v>
      </c>
      <c r="B498" s="2">
        <v>1200</v>
      </c>
      <c r="C498" t="s">
        <v>24</v>
      </c>
      <c r="D498" t="s">
        <v>1004</v>
      </c>
      <c r="E498" t="s">
        <v>956</v>
      </c>
      <c r="F498" t="s">
        <v>1156</v>
      </c>
      <c r="G498" t="s">
        <v>15</v>
      </c>
      <c r="H498" s="3">
        <v>39831.094444444447</v>
      </c>
      <c r="I498" t="str">
        <f ca="1">TEXT(TRUNC(33.94556), "0" &amp; CHAR(176) &amp; " ") &amp; TEXT(INT((ABS(33.94556)- INT(ABS(33.94556)))*60), "0' ") &amp; TEXT(((((ABS(33.94556)-INT(ABS(33.94556)))*60)- INT((ABS(33.94556) - INT(ABS(33.94556)))*60))*60), " 0''")</f>
        <v>33°c c56  44</v>
      </c>
      <c r="J498" t="str">
        <f ca="1">TEXT(TRUNC(-93.84694), "0" &amp; CHAR(176) &amp; " ") &amp; TEXT(INT((ABS(-93.84694)- INT(ABS(-93.84694)))*60), "0' ") &amp; TEXT(((((ABS(-93.84694)-INT(ABS(-93.84694)))*60)- INT((ABS(-93.84694) - INT(ABS(-93.84694)))*60))*60), " 0''")</f>
        <v>-93°c c50  49</v>
      </c>
    </row>
    <row r="499" spans="1:10">
      <c r="A499" t="s">
        <v>10</v>
      </c>
      <c r="B499" s="2">
        <v>1200</v>
      </c>
      <c r="C499" t="s">
        <v>24</v>
      </c>
      <c r="D499" t="s">
        <v>841</v>
      </c>
      <c r="E499" t="s">
        <v>1157</v>
      </c>
      <c r="F499" t="s">
        <v>113</v>
      </c>
      <c r="G499" t="s">
        <v>49</v>
      </c>
      <c r="H499" s="3">
        <v>39831.156944444447</v>
      </c>
      <c r="I499" t="str">
        <f ca="1">TEXT(TRUNC(-27.9833333), "0" &amp; CHAR(176) &amp; " ") &amp; TEXT(INT((ABS(-27.9833333)- INT(ABS(-27.9833333)))*60), "0' ") &amp; TEXT(((((ABS(-27.9833333)-INT(ABS(-27.9833333)))*60)- INT((ABS(-27.9833333) - INT(ABS(-27.9833333)))*60))*60), " 0''")</f>
        <v>-27°c c58  60</v>
      </c>
      <c r="J499" t="str">
        <f ca="1">TEXT(TRUNC(153.3333333), "0" &amp; CHAR(176) &amp; " ") &amp; TEXT(INT((ABS(153.3333333)- INT(ABS(153.3333333)))*60), "0' ") &amp; TEXT(((((ABS(153.3333333)-INT(ABS(153.3333333)))*60)- INT((ABS(153.3333333) - INT(ABS(153.3333333)))*60))*60), " 0''")</f>
        <v>153°c c19  60</v>
      </c>
    </row>
    <row r="500" spans="1:10">
      <c r="A500" t="s">
        <v>10</v>
      </c>
      <c r="B500" s="2">
        <v>1200</v>
      </c>
      <c r="C500" t="s">
        <v>24</v>
      </c>
      <c r="D500" t="s">
        <v>766</v>
      </c>
      <c r="E500" t="s">
        <v>1158</v>
      </c>
      <c r="F500" t="s">
        <v>553</v>
      </c>
      <c r="G500" t="s">
        <v>15</v>
      </c>
      <c r="H500" s="3">
        <v>39831.167361111111</v>
      </c>
      <c r="I500" t="str">
        <f ca="1">TEXT(TRUNC(64.83778), "0" &amp; CHAR(176) &amp; " ") &amp; TEXT(INT((ABS(64.83778)- INT(ABS(64.83778)))*60), "0' ") &amp; TEXT(((((ABS(64.83778)-INT(ABS(64.83778)))*60)- INT((ABS(64.83778) - INT(ABS(64.83778)))*60))*60), " 0''")</f>
        <v>64°c c50  16</v>
      </c>
      <c r="J500" t="str">
        <f ca="1">TEXT(TRUNC(-147.71639), "0" &amp; CHAR(176) &amp; " ") &amp; TEXT(INT((ABS(-147.71639)- INT(ABS(-147.71639)))*60), "0' ") &amp; TEXT(((((ABS(-147.71639)-INT(ABS(-147.71639)))*60)- INT((ABS(-147.71639) - INT(ABS(-147.71639)))*60))*60), " 0''")</f>
        <v>-147°c c42  59</v>
      </c>
    </row>
    <row r="501" spans="1:10">
      <c r="A501" t="s">
        <v>10</v>
      </c>
      <c r="B501" s="2">
        <v>1200</v>
      </c>
      <c r="C501" t="s">
        <v>50</v>
      </c>
      <c r="D501" t="s">
        <v>1159</v>
      </c>
      <c r="E501" t="s">
        <v>1129</v>
      </c>
      <c r="F501" t="s">
        <v>1130</v>
      </c>
      <c r="G501" t="s">
        <v>42</v>
      </c>
      <c r="H501" s="3">
        <v>39831.188888888886</v>
      </c>
      <c r="I501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501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502" spans="1:10">
      <c r="A502" t="s">
        <v>10</v>
      </c>
      <c r="B502" s="2">
        <v>1200</v>
      </c>
      <c r="C502" t="s">
        <v>24</v>
      </c>
      <c r="D502" t="s">
        <v>652</v>
      </c>
      <c r="E502" t="s">
        <v>1160</v>
      </c>
      <c r="F502" t="s">
        <v>53</v>
      </c>
      <c r="G502" t="s">
        <v>54</v>
      </c>
      <c r="H502" s="3">
        <v>39831.193055555559</v>
      </c>
      <c r="I502" t="str">
        <f ca="1">TEXT(TRUNC(54.65), "0" &amp; CHAR(176) &amp; " ") &amp; TEXT(INT((ABS(54.65)- INT(ABS(54.65)))*60), "0' ") &amp; TEXT(((((ABS(54.65)-INT(ABS(54.65)))*60)- INT((ABS(54.65) - INT(ABS(54.65)))*60))*60), " 0''")</f>
        <v>54°c c38  60</v>
      </c>
      <c r="J502" t="str">
        <f ca="1">TEXT(TRUNC(-1.6666667), "0" &amp; CHAR(176) &amp; " ") &amp; TEXT(INT((ABS(-1.6666667)- INT(ABS(-1.6666667)))*60), "0' ") &amp; TEXT(((((ABS(-1.6666667)-INT(ABS(-1.6666667)))*60)- INT((ABS(-1.6666667) - INT(ABS(-1.6666667)))*60))*60), " 0''")</f>
        <v>-1°c c40  0</v>
      </c>
    </row>
    <row r="503" spans="1:10">
      <c r="A503" t="s">
        <v>10</v>
      </c>
      <c r="B503" s="2">
        <v>1200</v>
      </c>
      <c r="C503" t="s">
        <v>50</v>
      </c>
      <c r="D503" t="s">
        <v>1161</v>
      </c>
      <c r="E503" t="s">
        <v>1162</v>
      </c>
      <c r="F503" t="s">
        <v>1163</v>
      </c>
      <c r="G503" t="s">
        <v>65</v>
      </c>
      <c r="H503" s="3">
        <v>39831.21875</v>
      </c>
      <c r="I503" t="str">
        <f ca="1">TEXT(TRUNC(52.7205556), "0" &amp; CHAR(176) &amp; " ") &amp; TEXT(INT((ABS(52.7205556)- INT(ABS(52.7205556)))*60), "0' ") &amp; TEXT(((((ABS(52.7205556)-INT(ABS(52.7205556)))*60)- INT((ABS(52.7205556) - INT(ABS(52.7205556)))*60))*60), " 0''")</f>
        <v>52°c c43  14</v>
      </c>
      <c r="J503" t="str">
        <f ca="1">TEXT(TRUNC(-7.5825), "0" &amp; CHAR(176) &amp; " ") &amp; TEXT(INT((ABS(-7.5825)- INT(ABS(-7.5825)))*60), "0' ") &amp; TEXT(((((ABS(-7.5825)-INT(ABS(-7.5825)))*60)- INT((ABS(-7.5825) - INT(ABS(-7.5825)))*60))*60), " 0''")</f>
        <v>-7°c c34  57</v>
      </c>
    </row>
    <row r="504" spans="1:10">
      <c r="A504" t="s">
        <v>10</v>
      </c>
      <c r="B504" s="2">
        <v>1200</v>
      </c>
      <c r="C504" t="s">
        <v>24</v>
      </c>
      <c r="D504" t="s">
        <v>483</v>
      </c>
      <c r="E504" t="s">
        <v>1164</v>
      </c>
      <c r="F504" t="s">
        <v>57</v>
      </c>
      <c r="G504" t="s">
        <v>15</v>
      </c>
      <c r="H504" s="3">
        <v>39831.227083333331</v>
      </c>
      <c r="I504" t="str">
        <f ca="1">TEXT(TRUNC(33.94), "0" &amp; CHAR(176) &amp; " ") &amp; TEXT(INT((ABS(33.94)- INT(ABS(33.94)))*60), "0' ") &amp; TEXT(((((ABS(33.94)-INT(ABS(33.94)))*60)- INT((ABS(33.94) - INT(ABS(33.94)))*60))*60), " 0''")</f>
        <v>33°c c56  24</v>
      </c>
      <c r="J504" t="str">
        <f ca="1">TEXT(TRUNC(-118.13167), "0" &amp; CHAR(176) &amp; " ") &amp; TEXT(INT((ABS(-118.13167)- INT(ABS(-118.13167)))*60), "0' ") &amp; TEXT(((((ABS(-118.13167)-INT(ABS(-118.13167)))*60)- INT((ABS(-118.13167) - INT(ABS(-118.13167)))*60))*60), " 0''")</f>
        <v>-118°c c7  54</v>
      </c>
    </row>
    <row r="505" spans="1:10">
      <c r="A505" t="s">
        <v>10</v>
      </c>
      <c r="B505" s="2">
        <v>1200</v>
      </c>
      <c r="C505" t="s">
        <v>11</v>
      </c>
      <c r="D505" t="s">
        <v>1165</v>
      </c>
      <c r="E505" t="s">
        <v>1166</v>
      </c>
      <c r="F505" t="s">
        <v>152</v>
      </c>
      <c r="G505" t="s">
        <v>15</v>
      </c>
      <c r="H505" s="3">
        <v>39831.25625</v>
      </c>
      <c r="I505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505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506" spans="1:10">
      <c r="A506" t="s">
        <v>10</v>
      </c>
      <c r="B506" s="2">
        <v>1200</v>
      </c>
      <c r="C506" t="s">
        <v>11</v>
      </c>
      <c r="D506" t="s">
        <v>1167</v>
      </c>
      <c r="E506" t="s">
        <v>1168</v>
      </c>
      <c r="F506" t="s">
        <v>179</v>
      </c>
      <c r="G506" t="s">
        <v>15</v>
      </c>
      <c r="H506" s="3">
        <v>39831.26875</v>
      </c>
      <c r="I506" t="str">
        <f ca="1">TEXT(TRUNC(39.24167), "0" &amp; CHAR(176) &amp; " ") &amp; TEXT(INT((ABS(39.24167)- INT(ABS(39.24167)))*60), "0' ") &amp; TEXT(((((ABS(39.24167)-INT(ABS(39.24167)))*60)- INT((ABS(39.24167) - INT(ABS(39.24167)))*60))*60), " 0''")</f>
        <v>39°c c14  30</v>
      </c>
      <c r="J506" t="str">
        <f ca="1">TEXT(TRUNC(-74.81556), "0" &amp; CHAR(176) &amp; " ") &amp; TEXT(INT((ABS(-74.81556)- INT(ABS(-74.81556)))*60), "0' ") &amp; TEXT(((((ABS(-74.81556)-INT(ABS(-74.81556)))*60)- INT((ABS(-74.81556) - INT(ABS(-74.81556)))*60))*60), " 0''")</f>
        <v>-74°c c48  56</v>
      </c>
    </row>
    <row r="507" spans="1:10">
      <c r="A507" t="s">
        <v>10</v>
      </c>
      <c r="B507" s="2">
        <v>1200</v>
      </c>
      <c r="C507" t="s">
        <v>24</v>
      </c>
      <c r="D507" t="s">
        <v>1169</v>
      </c>
      <c r="E507" t="s">
        <v>1170</v>
      </c>
      <c r="F507" t="s">
        <v>1171</v>
      </c>
      <c r="G507" t="s">
        <v>75</v>
      </c>
      <c r="H507" s="3">
        <v>39831.270833333336</v>
      </c>
      <c r="I507" t="str">
        <f ca="1">TEXT(TRUNC(47.2), "0" &amp; CHAR(176) &amp; " ") &amp; TEXT(INT((ABS(47.2)- INT(ABS(47.2)))*60), "0' ") &amp; TEXT(((((ABS(47.2)-INT(ABS(47.2)))*60)- INT((ABS(47.2) - INT(ABS(47.2)))*60))*60), " 0''")</f>
        <v>47°c c12  0</v>
      </c>
      <c r="J507" t="str">
        <f ca="1">TEXT(TRUNC(8.75), "0" &amp; CHAR(176) &amp; " ") &amp; TEXT(INT((ABS(8.75)- INT(ABS(8.75)))*60), "0' ") &amp; TEXT(((((ABS(8.75)-INT(ABS(8.75)))*60)- INT((ABS(8.75) - INT(ABS(8.75)))*60))*60), " 0''")</f>
        <v>8°c c45  0</v>
      </c>
    </row>
    <row r="508" spans="1:10">
      <c r="A508" t="s">
        <v>10</v>
      </c>
      <c r="B508" s="2">
        <v>1200</v>
      </c>
      <c r="C508" t="s">
        <v>24</v>
      </c>
      <c r="D508" t="s">
        <v>1172</v>
      </c>
      <c r="E508" t="s">
        <v>1173</v>
      </c>
      <c r="F508" t="s">
        <v>264</v>
      </c>
      <c r="G508" t="s">
        <v>65</v>
      </c>
      <c r="H508" s="3">
        <v>39831.281944444447</v>
      </c>
      <c r="I508" t="str">
        <f ca="1">TEXT(TRUNC(53.7233333), "0" &amp; CHAR(176) &amp; " ") &amp; TEXT(INT((ABS(53.7233333)- INT(ABS(53.7233333)))*60), "0' ") &amp; TEXT(((((ABS(53.7233333)-INT(ABS(53.7233333)))*60)- INT((ABS(53.7233333) - INT(ABS(53.7233333)))*60))*60), " 0''")</f>
        <v>53°c c43  24</v>
      </c>
      <c r="J508" t="str">
        <f ca="1">TEXT(TRUNC(-6.2825), "0" &amp; CHAR(176) &amp; " ") &amp; TEXT(INT((ABS(-6.2825)- INT(ABS(-6.2825)))*60), "0' ") &amp; TEXT(((((ABS(-6.2825)-INT(ABS(-6.2825)))*60)- INT((ABS(-6.2825) - INT(ABS(-6.2825)))*60))*60), " 0''")</f>
        <v>-6°c c16  57</v>
      </c>
    </row>
    <row r="509" spans="1:10">
      <c r="A509" t="s">
        <v>10</v>
      </c>
      <c r="B509" s="2">
        <v>1200</v>
      </c>
      <c r="C509" t="s">
        <v>11</v>
      </c>
      <c r="D509" t="s">
        <v>1174</v>
      </c>
      <c r="E509" t="s">
        <v>1175</v>
      </c>
      <c r="F509" t="s">
        <v>400</v>
      </c>
      <c r="G509" t="s">
        <v>15</v>
      </c>
      <c r="H509" s="3">
        <v>39831.37222222222</v>
      </c>
      <c r="I509" t="str">
        <f ca="1">TEXT(TRUNC(42.60722), "0" &amp; CHAR(176) &amp; " ") &amp; TEXT(INT((ABS(42.60722)- INT(ABS(42.60722)))*60), "0' ") &amp; TEXT(((((ABS(42.60722)-INT(ABS(42.60722)))*60)- INT((ABS(42.60722) - INT(ABS(42.60722)))*60))*60), " 0''")</f>
        <v>42°c c36  26</v>
      </c>
      <c r="J509" t="str">
        <f ca="1">TEXT(TRUNC(-83.92944), "0" &amp; CHAR(176) &amp; " ") &amp; TEXT(INT((ABS(-83.92944)- INT(ABS(-83.92944)))*60), "0' ") &amp; TEXT(((((ABS(-83.92944)-INT(ABS(-83.92944)))*60)- INT((ABS(-83.92944) - INT(ABS(-83.92944)))*60))*60), " 0''")</f>
        <v>-83°c c55  46</v>
      </c>
    </row>
    <row r="510" spans="1:10">
      <c r="A510" t="s">
        <v>10</v>
      </c>
      <c r="B510" s="2">
        <v>1200</v>
      </c>
      <c r="C510" t="s">
        <v>24</v>
      </c>
      <c r="D510" t="s">
        <v>177</v>
      </c>
      <c r="E510" t="s">
        <v>1176</v>
      </c>
      <c r="F510" t="s">
        <v>1008</v>
      </c>
      <c r="G510" t="s">
        <v>15</v>
      </c>
      <c r="H510" s="3">
        <v>39831.404166666667</v>
      </c>
      <c r="I510" t="str">
        <f ca="1">TEXT(TRUNC(41.49694), "0" &amp; CHAR(176) &amp; " ") &amp; TEXT(INT((ABS(41.49694)- INT(ABS(41.49694)))*60), "0' ") &amp; TEXT(((((ABS(41.49694)-INT(ABS(41.49694)))*60)- INT((ABS(41.49694) - INT(ABS(41.49694)))*60))*60), " 0''")</f>
        <v>41°c c29  49</v>
      </c>
      <c r="J510" t="str">
        <f ca="1">TEXT(TRUNC(-71.36778), "0" &amp; CHAR(176) &amp; " ") &amp; TEXT(INT((ABS(-71.36778)- INT(ABS(-71.36778)))*60), "0' ") &amp; TEXT(((((ABS(-71.36778)-INT(ABS(-71.36778)))*60)- INT((ABS(-71.36778) - INT(ABS(-71.36778)))*60))*60), " 0''")</f>
        <v>-71°c c22  4</v>
      </c>
    </row>
    <row r="511" spans="1:10">
      <c r="A511" t="s">
        <v>10</v>
      </c>
      <c r="B511" s="2">
        <v>1200</v>
      </c>
      <c r="C511" t="s">
        <v>24</v>
      </c>
      <c r="D511" t="s">
        <v>1177</v>
      </c>
      <c r="E511" t="s">
        <v>1178</v>
      </c>
      <c r="F511" t="s">
        <v>406</v>
      </c>
      <c r="G511" t="s">
        <v>15</v>
      </c>
      <c r="H511" s="3">
        <v>39831.445833333331</v>
      </c>
      <c r="I511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511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512" spans="1:10">
      <c r="A512" t="s">
        <v>10</v>
      </c>
      <c r="B512" s="2">
        <v>1200</v>
      </c>
      <c r="C512" t="s">
        <v>33</v>
      </c>
      <c r="D512" t="s">
        <v>782</v>
      </c>
      <c r="E512" t="s">
        <v>1181</v>
      </c>
      <c r="F512" t="s">
        <v>57</v>
      </c>
      <c r="G512" t="s">
        <v>15</v>
      </c>
      <c r="H512" s="3">
        <v>39831.470138888886</v>
      </c>
      <c r="I512" t="str">
        <f ca="1">TEXT(TRUNC(35.48944), "0" &amp; CHAR(176) &amp; " ") &amp; TEXT(INT((ABS(35.48944)- INT(ABS(35.48944)))*60), "0' ") &amp; TEXT(((((ABS(35.48944)-INT(ABS(35.48944)))*60)- INT((ABS(35.48944) - INT(ABS(35.48944)))*60))*60), " 0''")</f>
        <v>35°c c29  22</v>
      </c>
      <c r="J512" t="str">
        <f ca="1">TEXT(TRUNC(-120.66972), "0" &amp; CHAR(176) &amp; " ") &amp; TEXT(INT((ABS(-120.66972)- INT(ABS(-120.66972)))*60), "0' ") &amp; TEXT(((((ABS(-120.66972)-INT(ABS(-120.66972)))*60)- INT((ABS(-120.66972) - INT(ABS(-120.66972)))*60))*60), " 0''")</f>
        <v>-120°c c40  11</v>
      </c>
    </row>
    <row r="513" spans="1:10">
      <c r="A513" t="s">
        <v>10</v>
      </c>
      <c r="B513" s="2">
        <v>1200</v>
      </c>
      <c r="C513" t="s">
        <v>24</v>
      </c>
      <c r="D513" t="s">
        <v>1183</v>
      </c>
      <c r="E513" t="s">
        <v>1184</v>
      </c>
      <c r="F513" t="s">
        <v>53</v>
      </c>
      <c r="G513" t="s">
        <v>54</v>
      </c>
      <c r="H513" s="3">
        <v>39831.4875</v>
      </c>
      <c r="I513" t="str">
        <f ca="1">TEXT(TRUNC(51.2), "0" &amp; CHAR(176) &amp; " ") &amp; TEXT(INT((ABS(51.2)- INT(ABS(51.2)))*60), "0' ") &amp; TEXT(((((ABS(51.2)-INT(ABS(51.2)))*60)- INT((ABS(51.2) - INT(ABS(51.2)))*60))*60), " 0''")</f>
        <v>51°c c12  0</v>
      </c>
      <c r="J513" t="str">
        <f ca="1">TEXT(TRUNC(0.5833333), "0" &amp; CHAR(176) &amp; " ") &amp; TEXT(INT((ABS(0.5833333)- INT(ABS(0.5833333)))*60), "0' ") &amp; TEXT(((((ABS(0.5833333)-INT(ABS(0.5833333)))*60)- INT((ABS(0.5833333) - INT(ABS(0.5833333)))*60))*60), " 0''")</f>
        <v>0°c c34  60</v>
      </c>
    </row>
    <row r="514" spans="1:10">
      <c r="A514" t="s">
        <v>10</v>
      </c>
      <c r="B514" s="2">
        <v>1200</v>
      </c>
      <c r="C514" t="s">
        <v>24</v>
      </c>
      <c r="D514" t="s">
        <v>1185</v>
      </c>
      <c r="E514" t="s">
        <v>1186</v>
      </c>
      <c r="F514" t="s">
        <v>90</v>
      </c>
      <c r="G514" t="s">
        <v>15</v>
      </c>
      <c r="H514" s="3">
        <v>39831.495138888888</v>
      </c>
      <c r="I514" t="str">
        <f ca="1">TEXT(TRUNC(39.43361), "0" &amp; CHAR(176) &amp; " ") &amp; TEXT(INT((ABS(39.43361)- INT(ABS(39.43361)))*60), "0' ") &amp; TEXT(((((ABS(39.43361)-INT(ABS(39.43361)))*60)- INT((ABS(39.43361) - INT(ABS(39.43361)))*60))*60), " 0''")</f>
        <v>39°c c26  1</v>
      </c>
      <c r="J514" t="str">
        <f ca="1">TEXT(TRUNC(-76.35806), "0" &amp; CHAR(176) &amp; " ") &amp; TEXT(INT((ABS(-76.35806)- INT(ABS(-76.35806)))*60), "0' ") &amp; TEXT(((((ABS(-76.35806)-INT(ABS(-76.35806)))*60)- INT((ABS(-76.35806) - INT(ABS(-76.35806)))*60))*60), " 0''")</f>
        <v>-76°c c21  29</v>
      </c>
    </row>
    <row r="515" spans="1:10">
      <c r="A515" t="s">
        <v>10</v>
      </c>
      <c r="B515" s="2">
        <v>1200</v>
      </c>
      <c r="C515" t="s">
        <v>24</v>
      </c>
      <c r="D515" t="s">
        <v>1187</v>
      </c>
      <c r="E515" t="s">
        <v>1186</v>
      </c>
      <c r="F515" t="s">
        <v>90</v>
      </c>
      <c r="G515" t="s">
        <v>15</v>
      </c>
      <c r="H515" s="3">
        <v>39831.50277777778</v>
      </c>
      <c r="I515" t="str">
        <f ca="1">TEXT(TRUNC(39.43361), "0" &amp; CHAR(176) &amp; " ") &amp; TEXT(INT((ABS(39.43361)- INT(ABS(39.43361)))*60), "0' ") &amp; TEXT(((((ABS(39.43361)-INT(ABS(39.43361)))*60)- INT((ABS(39.43361) - INT(ABS(39.43361)))*60))*60), " 0''")</f>
        <v>39°c c26  1</v>
      </c>
      <c r="J515" t="str">
        <f ca="1">TEXT(TRUNC(-76.35806), "0" &amp; CHAR(176) &amp; " ") &amp; TEXT(INT((ABS(-76.35806)- INT(ABS(-76.35806)))*60), "0' ") &amp; TEXT(((((ABS(-76.35806)-INT(ABS(-76.35806)))*60)- INT((ABS(-76.35806) - INT(ABS(-76.35806)))*60))*60), " 0''")</f>
        <v>-76°c c21  29</v>
      </c>
    </row>
    <row r="516" spans="1:10">
      <c r="A516" t="s">
        <v>10</v>
      </c>
      <c r="B516" s="2">
        <v>1200</v>
      </c>
      <c r="C516" t="s">
        <v>24</v>
      </c>
      <c r="D516" t="s">
        <v>598</v>
      </c>
      <c r="E516" t="s">
        <v>1192</v>
      </c>
      <c r="F516" t="s">
        <v>513</v>
      </c>
      <c r="G516" t="s">
        <v>65</v>
      </c>
      <c r="H516" s="3">
        <v>39831.522222222222</v>
      </c>
      <c r="I516" t="str">
        <f ca="1">TEXT(TRUNC(53.3986111), "0" &amp; CHAR(176) &amp; " ") &amp; TEXT(INT((ABS(53.3986111)- INT(ABS(53.3986111)))*60), "0' ") &amp; TEXT(((((ABS(53.3986111)-INT(ABS(53.3986111)))*60)- INT((ABS(53.3986111) - INT(ABS(53.3986111)))*60))*60), " 0''")</f>
        <v>53°c c23  55</v>
      </c>
      <c r="J516" t="str">
        <f ca="1">TEXT(TRUNC(-6.2597222), "0" &amp; CHAR(176) &amp; " ") &amp; TEXT(INT((ABS(-6.2597222)- INT(ABS(-6.2597222)))*60), "0' ") &amp; TEXT(((((ABS(-6.2597222)-INT(ABS(-6.2597222)))*60)- INT((ABS(-6.2597222) - INT(ABS(-6.2597222)))*60))*60), " 0''")</f>
        <v>-6°c c15  35</v>
      </c>
    </row>
    <row r="517" spans="1:10">
      <c r="A517" t="s">
        <v>10</v>
      </c>
      <c r="B517" s="2">
        <v>1200</v>
      </c>
      <c r="C517" t="s">
        <v>11</v>
      </c>
      <c r="D517" t="s">
        <v>1193</v>
      </c>
      <c r="E517" t="s">
        <v>1194</v>
      </c>
      <c r="F517" t="s">
        <v>790</v>
      </c>
      <c r="G517" t="s">
        <v>15</v>
      </c>
      <c r="H517" s="3">
        <v>39831.539583333331</v>
      </c>
      <c r="I517" t="str">
        <f ca="1">TEXT(TRUNC(43.45889), "0" &amp; CHAR(176) &amp; " ") &amp; TEXT(INT((ABS(43.45889)- INT(ABS(43.45889)))*60), "0' ") &amp; TEXT(((((ABS(43.45889)-INT(ABS(43.45889)))*60)- INT((ABS(43.45889) - INT(ABS(43.45889)))*60))*60), " 0''")</f>
        <v>43°c c27  32</v>
      </c>
      <c r="J517" t="str">
        <f ca="1">TEXT(TRUNC(-91.86528), "0" &amp; CHAR(176) &amp; " ") &amp; TEXT(INT((ABS(-91.86528)- INT(ABS(-91.86528)))*60), "0' ") &amp; TEXT(((((ABS(-91.86528)-INT(ABS(-91.86528)))*60)- INT((ABS(-91.86528) - INT(ABS(-91.86528)))*60))*60), " 0''")</f>
        <v>-91°c c51  55</v>
      </c>
    </row>
    <row r="518" spans="1:10">
      <c r="A518" t="s">
        <v>10</v>
      </c>
      <c r="B518" s="2">
        <v>1200</v>
      </c>
      <c r="C518" t="s">
        <v>50</v>
      </c>
      <c r="D518" t="s">
        <v>389</v>
      </c>
      <c r="E518" t="s">
        <v>1195</v>
      </c>
      <c r="F518" t="s">
        <v>405</v>
      </c>
      <c r="G518" t="s">
        <v>15</v>
      </c>
      <c r="H518" s="3">
        <v>39831.54583333333</v>
      </c>
      <c r="I518" t="str">
        <f ca="1">TEXT(TRUNC(44.90333), "0" &amp; CHAR(176) &amp; " ") &amp; TEXT(INT((ABS(44.90333)- INT(ABS(44.90333)))*60), "0' ") &amp; TEXT(((((ABS(44.90333)-INT(ABS(44.90333)))*60)- INT((ABS(44.90333) - INT(ABS(44.90333)))*60))*60), " 0''")</f>
        <v>44°c c54  12</v>
      </c>
      <c r="J518" t="str">
        <f ca="1">TEXT(TRUNC(-93.56611), "0" &amp; CHAR(176) &amp; " ") &amp; TEXT(INT((ABS(-93.56611)- INT(ABS(-93.56611)))*60), "0' ") &amp; TEXT(((((ABS(-93.56611)-INT(ABS(-93.56611)))*60)- INT((ABS(-93.56611) - INT(ABS(-93.56611)))*60))*60), " 0''")</f>
        <v>-93°c c33  58</v>
      </c>
    </row>
    <row r="519" spans="1:10">
      <c r="A519" t="s">
        <v>10</v>
      </c>
      <c r="B519" s="2">
        <v>1200</v>
      </c>
      <c r="C519" t="s">
        <v>24</v>
      </c>
      <c r="D519" t="s">
        <v>1196</v>
      </c>
      <c r="E519" t="s">
        <v>1197</v>
      </c>
      <c r="F519" t="s">
        <v>580</v>
      </c>
      <c r="G519" t="s">
        <v>15</v>
      </c>
      <c r="H519" s="3">
        <v>39831.559027777781</v>
      </c>
      <c r="I519" t="str">
        <f ca="1">TEXT(TRUNC(41.40306), "0" &amp; CHAR(176) &amp; " ") &amp; TEXT(INT((ABS(41.40306)- INT(ABS(41.40306)))*60), "0' ") &amp; TEXT(((((ABS(41.40306)-INT(ABS(41.40306)))*60)- INT((ABS(41.40306) - INT(ABS(41.40306)))*60))*60), " 0''")</f>
        <v>41°c c24  11</v>
      </c>
      <c r="J519" t="str">
        <f ca="1">TEXT(TRUNC(-72.45139), "0" &amp; CHAR(176) &amp; " ") &amp; TEXT(INT((ABS(-72.45139)- INT(ABS(-72.45139)))*60), "0' ") &amp; TEXT(((((ABS(-72.45139)-INT(ABS(-72.45139)))*60)- INT((ABS(-72.45139) - INT(ABS(-72.45139)))*60))*60), " 0''")</f>
        <v>-72°c c27  5</v>
      </c>
    </row>
    <row r="520" spans="1:10">
      <c r="A520" t="s">
        <v>10</v>
      </c>
      <c r="B520" s="2">
        <v>1200</v>
      </c>
      <c r="C520" t="s">
        <v>33</v>
      </c>
      <c r="D520" t="s">
        <v>1200</v>
      </c>
      <c r="E520" t="s">
        <v>118</v>
      </c>
      <c r="F520" t="s">
        <v>53</v>
      </c>
      <c r="G520" t="s">
        <v>54</v>
      </c>
      <c r="H520" s="3">
        <v>39831.566666666666</v>
      </c>
      <c r="I520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520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521" spans="1:10">
      <c r="A521" t="s">
        <v>10</v>
      </c>
      <c r="B521" s="2">
        <v>1200</v>
      </c>
      <c r="C521" t="s">
        <v>50</v>
      </c>
      <c r="D521" t="s">
        <v>1203</v>
      </c>
      <c r="E521" t="s">
        <v>1204</v>
      </c>
      <c r="F521" t="s">
        <v>513</v>
      </c>
      <c r="G521" t="s">
        <v>65</v>
      </c>
      <c r="H521" s="3">
        <v>39831.582638888889</v>
      </c>
      <c r="I521" t="str">
        <f ca="1">TEXT(TRUNC(53.3905556), "0" &amp; CHAR(176) &amp; " ") &amp; TEXT(INT((ABS(53.3905556)- INT(ABS(53.3905556)))*60), "0' ") &amp; TEXT(((((ABS(53.3905556)-INT(ABS(53.3905556)))*60)- INT((ABS(53.3905556) - INT(ABS(53.3905556)))*60))*60), " 0''")</f>
        <v>53°c c23  26</v>
      </c>
      <c r="J521" t="str">
        <f ca="1">TEXT(TRUNC(-6.1216667), "0" &amp; CHAR(176) &amp; " ") &amp; TEXT(INT((ABS(-6.1216667)- INT(ABS(-6.1216667)))*60), "0' ") &amp; TEXT(((((ABS(-6.1216667)-INT(ABS(-6.1216667)))*60)- INT((ABS(-6.1216667) - INT(ABS(-6.1216667)))*60))*60), " 0''")</f>
        <v>-6°c c7  18</v>
      </c>
    </row>
    <row r="522" spans="1:10">
      <c r="A522" t="s">
        <v>10</v>
      </c>
      <c r="B522" s="2">
        <v>1200</v>
      </c>
      <c r="C522" t="s">
        <v>24</v>
      </c>
      <c r="D522" t="s">
        <v>1205</v>
      </c>
      <c r="E522" t="s">
        <v>571</v>
      </c>
      <c r="F522" t="s">
        <v>90</v>
      </c>
      <c r="G522" t="s">
        <v>15</v>
      </c>
      <c r="H522" s="3">
        <v>39831.61041666667</v>
      </c>
      <c r="I522" t="str">
        <f ca="1">TEXT(TRUNC(38.99056), "0" &amp; CHAR(176) &amp; " ") &amp; TEXT(INT((ABS(38.99056)- INT(ABS(38.99056)))*60), "0' ") &amp; TEXT(((((ABS(38.99056)-INT(ABS(38.99056)))*60)- INT((ABS(38.99056) - INT(ABS(38.99056)))*60))*60), " 0''")</f>
        <v>38°c c59  26</v>
      </c>
      <c r="J522" t="str">
        <f ca="1">TEXT(TRUNC(-77.02639), "0" &amp; CHAR(176) &amp; " ") &amp; TEXT(INT((ABS(-77.02639)- INT(ABS(-77.02639)))*60), "0' ") &amp; TEXT(((((ABS(-77.02639)-INT(ABS(-77.02639)))*60)- INT((ABS(-77.02639) - INT(ABS(-77.02639)))*60))*60), " 0''")</f>
        <v>-77°c c1  35</v>
      </c>
    </row>
    <row r="523" spans="1:10">
      <c r="A523" t="s">
        <v>10</v>
      </c>
      <c r="B523" s="2">
        <v>1200</v>
      </c>
      <c r="C523" t="s">
        <v>24</v>
      </c>
      <c r="D523" t="s">
        <v>1044</v>
      </c>
      <c r="E523" t="s">
        <v>1206</v>
      </c>
      <c r="F523" t="s">
        <v>179</v>
      </c>
      <c r="G523" t="s">
        <v>15</v>
      </c>
      <c r="H523" s="3">
        <v>39831.701388888891</v>
      </c>
      <c r="I523" t="str">
        <f ca="1">TEXT(TRUNC(40.4497), "0" &amp; CHAR(176) &amp; " ") &amp; TEXT(INT((ABS(40.4497)- INT(ABS(40.4497)))*60), "0' ") &amp; TEXT(((((ABS(40.4497)-INT(ABS(40.4497)))*60)- INT((ABS(40.4497) - INT(ABS(40.4497)))*60))*60), " 0''")</f>
        <v>40°c c26  59</v>
      </c>
      <c r="J523" t="str">
        <f ca="1">TEXT(TRUNC(-74.482), "0" &amp; CHAR(176) &amp; " ") &amp; TEXT(INT((ABS(-74.482)- INT(ABS(-74.482)))*60), "0' ") &amp; TEXT(((((ABS(-74.482)-INT(ABS(-74.482)))*60)- INT((ABS(-74.482) - INT(ABS(-74.482)))*60))*60), " 0''")</f>
        <v>-74°c c28  55</v>
      </c>
    </row>
    <row r="524" spans="1:10">
      <c r="A524" t="s">
        <v>10</v>
      </c>
      <c r="B524" s="2">
        <v>1200</v>
      </c>
      <c r="C524" t="s">
        <v>11</v>
      </c>
      <c r="D524" t="s">
        <v>1210</v>
      </c>
      <c r="E524" t="s">
        <v>1211</v>
      </c>
      <c r="F524" t="s">
        <v>179</v>
      </c>
      <c r="G524" t="s">
        <v>15</v>
      </c>
      <c r="H524" s="3">
        <v>39831.722916666666</v>
      </c>
      <c r="I524" t="str">
        <f ca="1">TEXT(TRUNC(40.98917), "0" &amp; CHAR(176) &amp; " ") &amp; TEXT(INT((ABS(40.98917)- INT(ABS(40.98917)))*60), "0' ") &amp; TEXT(((((ABS(40.98917)-INT(ABS(40.98917)))*60)- INT((ABS(40.98917) - INT(ABS(40.98917)))*60))*60), " 0''")</f>
        <v>40°c c59  21</v>
      </c>
      <c r="J524" t="str">
        <f ca="1">TEXT(TRUNC(-74.14111), "0" &amp; CHAR(176) &amp; " ") &amp; TEXT(INT((ABS(-74.14111)- INT(ABS(-74.14111)))*60), "0' ") &amp; TEXT(((((ABS(-74.14111)-INT(ABS(-74.14111)))*60)- INT((ABS(-74.14111) - INT(ABS(-74.14111)))*60))*60), " 0''")</f>
        <v>-74°c c8  28</v>
      </c>
    </row>
    <row r="525" spans="1:10">
      <c r="A525" t="s">
        <v>10</v>
      </c>
      <c r="B525" s="2">
        <v>1200</v>
      </c>
      <c r="C525" t="s">
        <v>33</v>
      </c>
      <c r="D525" t="s">
        <v>1213</v>
      </c>
      <c r="E525" t="s">
        <v>1214</v>
      </c>
      <c r="F525" t="s">
        <v>1215</v>
      </c>
      <c r="G525" t="s">
        <v>1014</v>
      </c>
      <c r="H525" s="3">
        <v>39831.746527777781</v>
      </c>
      <c r="I525" t="str">
        <f ca="1">TEXT(TRUNC(-26.1180556), "0" &amp; CHAR(176) &amp; " ") &amp; TEXT(INT((ABS(-26.1180556)- INT(ABS(-26.1180556)))*60), "0' ") &amp; TEXT(((((ABS(-26.1180556)-INT(ABS(-26.1180556)))*60)- INT((ABS(-26.1180556) - INT(ABS(-26.1180556)))*60))*60), " 0''")</f>
        <v>-26°c c7  5</v>
      </c>
      <c r="J525" t="str">
        <f ca="1">TEXT(TRUNC(-49.8016667), "0" &amp; CHAR(176) &amp; " ") &amp; TEXT(INT((ABS(-49.8016667)- INT(ABS(-49.8016667)))*60), "0' ") &amp; TEXT(((((ABS(-49.8016667)-INT(ABS(-49.8016667)))*60)- INT((ABS(-49.8016667) - INT(ABS(-49.8016667)))*60))*60), " 0''")</f>
        <v>-49°c c48  6</v>
      </c>
    </row>
    <row r="526" spans="1:10">
      <c r="A526" t="s">
        <v>10</v>
      </c>
      <c r="B526" s="2">
        <v>1200</v>
      </c>
      <c r="C526" t="s">
        <v>11</v>
      </c>
      <c r="D526" t="s">
        <v>1216</v>
      </c>
      <c r="E526" t="s">
        <v>486</v>
      </c>
      <c r="F526" t="s">
        <v>152</v>
      </c>
      <c r="G526" t="s">
        <v>15</v>
      </c>
      <c r="H526" s="3">
        <v>39831.789583333331</v>
      </c>
      <c r="I526" t="str">
        <f ca="1">TEXT(TRUNC(38.96861), "0" &amp; CHAR(176) &amp; " ") &amp; TEXT(INT((ABS(38.96861)- INT(ABS(38.96861)))*60), "0' ") &amp; TEXT(((((ABS(38.96861)-INT(ABS(38.96861)))*60)- INT((ABS(38.96861) - INT(ABS(38.96861)))*60))*60), " 0''")</f>
        <v>38°c c58  7</v>
      </c>
      <c r="J526" t="str">
        <f ca="1">TEXT(TRUNC(-77.34139), "0" &amp; CHAR(176) &amp; " ") &amp; TEXT(INT((ABS(-77.34139)- INT(ABS(-77.34139)))*60), "0' ") &amp; TEXT(((((ABS(-77.34139)-INT(ABS(-77.34139)))*60)- INT((ABS(-77.34139) - INT(ABS(-77.34139)))*60))*60), " 0''")</f>
        <v>-77°c c20  29</v>
      </c>
    </row>
    <row r="527" spans="1:10">
      <c r="A527" t="s">
        <v>10</v>
      </c>
      <c r="B527" s="2">
        <v>1200</v>
      </c>
      <c r="C527" t="s">
        <v>11</v>
      </c>
      <c r="D527" t="s">
        <v>25</v>
      </c>
      <c r="E527" t="s">
        <v>1217</v>
      </c>
      <c r="F527" t="s">
        <v>179</v>
      </c>
      <c r="G527" t="s">
        <v>15</v>
      </c>
      <c r="H527" s="3">
        <v>39831.844444444447</v>
      </c>
      <c r="I527" t="str">
        <f ca="1">TEXT(TRUNC(40.34861), "0" &amp; CHAR(176) &amp; " ") &amp; TEXT(INT((ABS(40.34861)- INT(ABS(40.34861)))*60), "0' ") &amp; TEXT(((((ABS(40.34861)-INT(ABS(40.34861)))*60)- INT((ABS(40.34861) - INT(ABS(40.34861)))*60))*60), " 0''")</f>
        <v>40°c c20  55</v>
      </c>
      <c r="J527" t="str">
        <f ca="1">TEXT(TRUNC(-74.65944), "0" &amp; CHAR(176) &amp; " ") &amp; TEXT(INT((ABS(-74.65944)- INT(ABS(-74.65944)))*60), "0' ") &amp; TEXT(((((ABS(-74.65944)-INT(ABS(-74.65944)))*60)- INT((ABS(-74.65944) - INT(ABS(-74.65944)))*60))*60), " 0''")</f>
        <v>-74°c c39  34</v>
      </c>
    </row>
    <row r="528" spans="1:10">
      <c r="A528" t="s">
        <v>10</v>
      </c>
      <c r="B528" s="2">
        <v>1200</v>
      </c>
      <c r="C528" t="s">
        <v>24</v>
      </c>
      <c r="D528" t="s">
        <v>1218</v>
      </c>
      <c r="E528" t="s">
        <v>454</v>
      </c>
      <c r="F528" t="s">
        <v>455</v>
      </c>
      <c r="G528" t="s">
        <v>15</v>
      </c>
      <c r="H528" s="3">
        <v>39831.970138888886</v>
      </c>
      <c r="I528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528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529" spans="1:10">
      <c r="A529" t="s">
        <v>10</v>
      </c>
      <c r="B529" s="2">
        <v>1200</v>
      </c>
      <c r="C529" t="s">
        <v>33</v>
      </c>
      <c r="D529" t="s">
        <v>1219</v>
      </c>
      <c r="E529" t="s">
        <v>461</v>
      </c>
      <c r="F529" t="s">
        <v>48</v>
      </c>
      <c r="G529" t="s">
        <v>49</v>
      </c>
      <c r="H529" s="3">
        <v>39832.077777777777</v>
      </c>
      <c r="I529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529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530" spans="1:10">
      <c r="A530" t="s">
        <v>10</v>
      </c>
      <c r="B530" s="2">
        <v>1200</v>
      </c>
      <c r="C530" t="s">
        <v>11</v>
      </c>
      <c r="D530" t="s">
        <v>1220</v>
      </c>
      <c r="E530" t="s">
        <v>1221</v>
      </c>
      <c r="F530" t="s">
        <v>1222</v>
      </c>
      <c r="G530" t="s">
        <v>1223</v>
      </c>
      <c r="H530" s="3">
        <v>39832.138194444444</v>
      </c>
      <c r="I530" t="str">
        <f ca="1">TEXT(TRUNC(42.35), "0" &amp; CHAR(176) &amp; " ") &amp; TEXT(INT((ABS(42.35)- INT(ABS(42.35)))*60), "0' ") &amp; TEXT(((((ABS(42.35)-INT(ABS(42.35)))*60)- INT((ABS(42.35) - INT(ABS(42.35)))*60))*60), " 0''")</f>
        <v>42°c c21  0</v>
      </c>
      <c r="J530" t="str">
        <f ca="1">TEXT(TRUNC(25.6666667), "0" &amp; CHAR(176) &amp; " ") &amp; TEXT(INT((ABS(25.6666667)- INT(ABS(25.6666667)))*60), "0' ") &amp; TEXT(((((ABS(25.6666667)-INT(ABS(25.6666667)))*60)- INT((ABS(25.6666667) - INT(ABS(25.6666667)))*60))*60), " 0''")</f>
        <v>25°c c40  0</v>
      </c>
    </row>
    <row r="531" spans="1:10">
      <c r="A531" t="s">
        <v>10</v>
      </c>
      <c r="B531" s="2">
        <v>1200</v>
      </c>
      <c r="C531" t="s">
        <v>24</v>
      </c>
      <c r="D531" t="s">
        <v>1224</v>
      </c>
      <c r="E531" t="s">
        <v>1225</v>
      </c>
      <c r="F531" t="s">
        <v>1226</v>
      </c>
      <c r="G531" t="s">
        <v>1227</v>
      </c>
      <c r="H531" s="3">
        <v>39832.142361111109</v>
      </c>
      <c r="I531" t="str">
        <f ca="1">TEXT(TRUNC(35.6333333), "0" &amp; CHAR(176) &amp; " ") &amp; TEXT(INT((ABS(35.6333333)- INT(ABS(35.6333333)))*60), "0' ") &amp; TEXT(((((ABS(35.6333333)-INT(ABS(35.6333333)))*60)- INT((ABS(35.6333333) - INT(ABS(35.6333333)))*60))*60), " 0''")</f>
        <v>35°c c37  60</v>
      </c>
      <c r="J531" t="str">
        <f ca="1">TEXT(TRUNC(139.65), "0" &amp; CHAR(176) &amp; " ") &amp; TEXT(INT((ABS(139.65)- INT(ABS(139.65)))*60), "0' ") &amp; TEXT(((((ABS(139.65)-INT(ABS(139.65)))*60)- INT((ABS(139.65) - INT(ABS(139.65)))*60))*60), " 0''")</f>
        <v>139°c c39  0</v>
      </c>
    </row>
    <row r="532" spans="1:10">
      <c r="A532" t="s">
        <v>10</v>
      </c>
      <c r="B532" s="2">
        <v>1200</v>
      </c>
      <c r="C532" t="s">
        <v>50</v>
      </c>
      <c r="D532" t="s">
        <v>1228</v>
      </c>
      <c r="E532" t="s">
        <v>1229</v>
      </c>
      <c r="F532" t="s">
        <v>1230</v>
      </c>
      <c r="G532" t="s">
        <v>174</v>
      </c>
      <c r="H532" s="3">
        <v>39832.181944444441</v>
      </c>
      <c r="I532" t="str">
        <f ca="1">TEXT(TRUNC(49.5), "0" &amp; CHAR(176) &amp; " ") &amp; TEXT(INT((ABS(49.5)- INT(ABS(49.5)))*60), "0' ") &amp; TEXT(((((ABS(49.5)-INT(ABS(49.5)))*60)- INT((ABS(49.5) - INT(ABS(49.5)))*60))*60), " 0''")</f>
        <v>49°c c30  0</v>
      </c>
      <c r="J532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533" spans="1:10">
      <c r="A533" t="s">
        <v>10</v>
      </c>
      <c r="B533" s="2">
        <v>1200</v>
      </c>
      <c r="C533" t="s">
        <v>24</v>
      </c>
      <c r="D533" t="s">
        <v>171</v>
      </c>
      <c r="E533" t="s">
        <v>1234</v>
      </c>
      <c r="F533" t="s">
        <v>53</v>
      </c>
      <c r="G533" t="s">
        <v>54</v>
      </c>
      <c r="H533" s="3">
        <v>39832.204861111109</v>
      </c>
      <c r="I533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33" t="str">
        <f ca="1">TEXT(TRUNC(-0.15), "0" &amp; CHAR(176) &amp; " ") &amp; TEXT(INT((ABS(-0.15)- INT(ABS(-0.15)))*60), "0' ") &amp; TEXT(((((ABS(-0.15)-INT(ABS(-0.15)))*60)- INT((ABS(-0.15) - INT(ABS(-0.15)))*60))*60), " 0''")</f>
        <v>0°c c9  0</v>
      </c>
    </row>
    <row r="534" spans="1:10">
      <c r="A534" t="s">
        <v>10</v>
      </c>
      <c r="B534" s="2">
        <v>1200</v>
      </c>
      <c r="C534" t="s">
        <v>24</v>
      </c>
      <c r="D534" t="s">
        <v>298</v>
      </c>
      <c r="E534" t="s">
        <v>467</v>
      </c>
      <c r="F534" t="s">
        <v>130</v>
      </c>
      <c r="G534" t="s">
        <v>54</v>
      </c>
      <c r="H534" s="3">
        <v>39832.24722222222</v>
      </c>
      <c r="I534" t="str">
        <f ca="1">TEXT(TRUNC(55.95), "0" &amp; CHAR(176) &amp; " ") &amp; TEXT(INT((ABS(55.95)- INT(ABS(55.95)))*60), "0' ") &amp; TEXT(((((ABS(55.95)-INT(ABS(55.95)))*60)- INT((ABS(55.95) - INT(ABS(55.95)))*60))*60), " 0''")</f>
        <v>55°c c57  0</v>
      </c>
      <c r="J534" t="str">
        <f ca="1">TEXT(TRUNC(-3.2), "0" &amp; CHAR(176) &amp; " ") &amp; TEXT(INT((ABS(-3.2)- INT(ABS(-3.2)))*60), "0' ") &amp; TEXT(((((ABS(-3.2)-INT(ABS(-3.2)))*60)- INT((ABS(-3.2) - INT(ABS(-3.2)))*60))*60), " 0''")</f>
        <v>-3°c c12  0</v>
      </c>
    </row>
    <row r="535" spans="1:10">
      <c r="A535" t="s">
        <v>10</v>
      </c>
      <c r="B535" s="2">
        <v>1200</v>
      </c>
      <c r="C535" t="s">
        <v>24</v>
      </c>
      <c r="D535" t="s">
        <v>1235</v>
      </c>
      <c r="E535" t="s">
        <v>1236</v>
      </c>
      <c r="F535" t="s">
        <v>53</v>
      </c>
      <c r="G535" t="s">
        <v>54</v>
      </c>
      <c r="H535" s="3">
        <v>39832.284722222219</v>
      </c>
      <c r="I535" t="str">
        <f ca="1">TEXT(TRUNC(50.2333333), "0" &amp; CHAR(176) &amp; " ") &amp; TEXT(INT((ABS(50.2333333)- INT(ABS(50.2333333)))*60), "0' ") &amp; TEXT(((((ABS(50.2333333)-INT(ABS(50.2333333)))*60)- INT((ABS(50.2333333) - INT(ABS(50.2333333)))*60))*60), " 0''")</f>
        <v>50°c c13  60</v>
      </c>
      <c r="J535" t="str">
        <f ca="1">TEXT(TRUNC(-5.2333333), "0" &amp; CHAR(176) &amp; " ") &amp; TEXT(INT((ABS(-5.2333333)- INT(ABS(-5.2333333)))*60), "0' ") &amp; TEXT(((((ABS(-5.2333333)-INT(ABS(-5.2333333)))*60)- INT((ABS(-5.2333333) - INT(ABS(-5.2333333)))*60))*60), " 0''")</f>
        <v>-5°c c13  60</v>
      </c>
    </row>
    <row r="536" spans="1:10">
      <c r="A536" t="s">
        <v>10</v>
      </c>
      <c r="B536" s="2">
        <v>1200</v>
      </c>
      <c r="C536" t="s">
        <v>33</v>
      </c>
      <c r="D536" t="s">
        <v>367</v>
      </c>
      <c r="E536" t="s">
        <v>550</v>
      </c>
      <c r="F536" t="s">
        <v>507</v>
      </c>
      <c r="G536" t="s">
        <v>480</v>
      </c>
      <c r="H536" s="3">
        <v>39832.284722222219</v>
      </c>
      <c r="I53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3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537" spans="1:10">
      <c r="A537" t="s">
        <v>10</v>
      </c>
      <c r="B537" s="2">
        <v>1200</v>
      </c>
      <c r="C537" t="s">
        <v>50</v>
      </c>
      <c r="D537" t="s">
        <v>1237</v>
      </c>
      <c r="E537" t="s">
        <v>1238</v>
      </c>
      <c r="F537" t="s">
        <v>1239</v>
      </c>
      <c r="G537" t="s">
        <v>1240</v>
      </c>
      <c r="H537" s="3">
        <v>39832.286111111112</v>
      </c>
      <c r="I537" t="str">
        <f ca="1">TEXT(TRUNC(10.0333333), "0" &amp; CHAR(176) &amp; " ") &amp; TEXT(INT((ABS(10.0333333)- INT(ABS(10.0333333)))*60), "0' ") &amp; TEXT(((((ABS(10.0333333)-INT(ABS(10.0333333)))*60)- INT((ABS(10.0333333) - INT(ABS(10.0333333)))*60))*60), " 0''")</f>
        <v>10°c c1  60</v>
      </c>
      <c r="J537" t="str">
        <f ca="1">TEXT(TRUNC(-84.15), "0" &amp; CHAR(176) &amp; " ") &amp; TEXT(INT((ABS(-84.15)- INT(ABS(-84.15)))*60), "0' ") &amp; TEXT(((((ABS(-84.15)-INT(ABS(-84.15)))*60)- INT((ABS(-84.15) - INT(ABS(-84.15)))*60))*60), " 0''")</f>
        <v>-84°c c9  0</v>
      </c>
    </row>
    <row r="538" spans="1:10">
      <c r="A538" t="s">
        <v>10</v>
      </c>
      <c r="B538" s="2">
        <v>1200</v>
      </c>
      <c r="C538" t="s">
        <v>33</v>
      </c>
      <c r="D538" t="s">
        <v>1101</v>
      </c>
      <c r="E538" t="s">
        <v>1241</v>
      </c>
      <c r="F538" t="s">
        <v>45</v>
      </c>
      <c r="G538" t="s">
        <v>15</v>
      </c>
      <c r="H538" s="3">
        <v>39832.325694444444</v>
      </c>
      <c r="I538" t="str">
        <f ca="1">TEXT(TRUNC(25.79028), "0" &amp; CHAR(176) &amp; " ") &amp; TEXT(INT((ABS(25.79028)- INT(ABS(25.79028)))*60), "0' ") &amp; TEXT(((((ABS(25.79028)-INT(ABS(25.79028)))*60)- INT((ABS(25.79028) - INT(ABS(25.79028)))*60))*60), " 0''")</f>
        <v>25°c c47  25</v>
      </c>
      <c r="J538" t="str">
        <f ca="1">TEXT(TRUNC(-80.13028), "0" &amp; CHAR(176) &amp; " ") &amp; TEXT(INT((ABS(-80.13028)- INT(ABS(-80.13028)))*60), "0' ") &amp; TEXT(((((ABS(-80.13028)-INT(ABS(-80.13028)))*60)- INT((ABS(-80.13028) - INT(ABS(-80.13028)))*60))*60), " 0''")</f>
        <v>-80°c c7  49</v>
      </c>
    </row>
    <row r="539" spans="1:10">
      <c r="A539" t="s">
        <v>10</v>
      </c>
      <c r="B539" s="2">
        <v>1200</v>
      </c>
      <c r="C539" t="s">
        <v>24</v>
      </c>
      <c r="D539" t="s">
        <v>1242</v>
      </c>
      <c r="E539" t="s">
        <v>285</v>
      </c>
      <c r="F539" t="s">
        <v>27</v>
      </c>
      <c r="G539" t="s">
        <v>15</v>
      </c>
      <c r="H539" s="3">
        <v>39832.343055555553</v>
      </c>
      <c r="I539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539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540" spans="1:10">
      <c r="A540" t="s">
        <v>10</v>
      </c>
      <c r="B540" s="2">
        <v>1200</v>
      </c>
      <c r="C540" t="s">
        <v>24</v>
      </c>
      <c r="D540" t="s">
        <v>1039</v>
      </c>
      <c r="E540" t="s">
        <v>1243</v>
      </c>
      <c r="F540" t="s">
        <v>27</v>
      </c>
      <c r="G540" t="s">
        <v>15</v>
      </c>
      <c r="H540" s="3">
        <v>39832.369444444441</v>
      </c>
      <c r="I540" t="str">
        <f ca="1">TEXT(TRUNC(29.58194), "0" &amp; CHAR(176) &amp; " ") &amp; TEXT(INT((ABS(29.58194)- INT(ABS(29.58194)))*60), "0' ") &amp; TEXT(((((ABS(29.58194)-INT(ABS(29.58194)))*60)- INT((ABS(29.58194) - INT(ABS(29.58194)))*60))*60), " 0''")</f>
        <v>29°c c34  55</v>
      </c>
      <c r="J540" t="str">
        <f ca="1">TEXT(TRUNC(-95.76056), "0" &amp; CHAR(176) &amp; " ") &amp; TEXT(INT((ABS(-95.76056)- INT(ABS(-95.76056)))*60), "0' ") &amp; TEXT(((((ABS(-95.76056)-INT(ABS(-95.76056)))*60)- INT((ABS(-95.76056) - INT(ABS(-95.76056)))*60))*60), " 0''")</f>
        <v>-95°c c45  38</v>
      </c>
    </row>
    <row r="541" spans="1:10">
      <c r="A541" t="s">
        <v>10</v>
      </c>
      <c r="B541" s="2">
        <v>1200</v>
      </c>
      <c r="C541" t="s">
        <v>33</v>
      </c>
      <c r="D541" t="s">
        <v>637</v>
      </c>
      <c r="E541" t="s">
        <v>243</v>
      </c>
      <c r="F541" t="s">
        <v>244</v>
      </c>
      <c r="G541" t="s">
        <v>15</v>
      </c>
      <c r="H541" s="3">
        <v>39832.398611111108</v>
      </c>
      <c r="I541" t="str">
        <f ca="1">TEXT(TRUNC(36.175), "0" &amp; CHAR(176) &amp; " ") &amp; TEXT(INT((ABS(36.175)- INT(ABS(36.175)))*60), "0' ") &amp; TEXT(((((ABS(36.175)-INT(ABS(36.175)))*60)- INT((ABS(36.175) - INT(ABS(36.175)))*60))*60), " 0''")</f>
        <v>36°c c10  30</v>
      </c>
      <c r="J541" t="str">
        <f ca="1">TEXT(TRUNC(-115.13639), "0" &amp; CHAR(176) &amp; " ") &amp; TEXT(INT((ABS(-115.13639)- INT(ABS(-115.13639)))*60), "0' ") &amp; TEXT(((((ABS(-115.13639)-INT(ABS(-115.13639)))*60)- INT((ABS(-115.13639) - INT(ABS(-115.13639)))*60))*60), " 0''")</f>
        <v>-115°c c8  11</v>
      </c>
    </row>
    <row r="542" spans="1:10">
      <c r="A542" t="s">
        <v>10</v>
      </c>
      <c r="B542" s="2">
        <v>1200</v>
      </c>
      <c r="C542" t="s">
        <v>11</v>
      </c>
      <c r="D542" t="s">
        <v>1245</v>
      </c>
      <c r="E542" t="s">
        <v>1246</v>
      </c>
      <c r="F542" t="s">
        <v>228</v>
      </c>
      <c r="G542" t="s">
        <v>15</v>
      </c>
      <c r="H542" s="3">
        <v>39832.438888888886</v>
      </c>
      <c r="I542" t="str">
        <f ca="1">TEXT(TRUNC(33.24861), "0" &amp; CHAR(176) &amp; " ") &amp; TEXT(INT((ABS(33.24861)- INT(ABS(33.24861)))*60), "0' ") &amp; TEXT(((((ABS(33.24861)-INT(ABS(33.24861)))*60)- INT((ABS(33.24861) - INT(ABS(33.24861)))*60))*60), " 0''")</f>
        <v>33°c c14  55</v>
      </c>
      <c r="J542" t="str">
        <f ca="1">TEXT(TRUNC(-111.63361), "0" &amp; CHAR(176) &amp; " ") &amp; TEXT(INT((ABS(-111.63361)- INT(ABS(-111.63361)))*60), "0' ") &amp; TEXT(((((ABS(-111.63361)-INT(ABS(-111.63361)))*60)- INT((ABS(-111.63361) - INT(ABS(-111.63361)))*60))*60), " 0''")</f>
        <v>-111°c c38  1</v>
      </c>
    </row>
    <row r="543" spans="1:10">
      <c r="A543" t="s">
        <v>10</v>
      </c>
      <c r="B543" s="2">
        <v>1200</v>
      </c>
      <c r="C543" t="s">
        <v>11</v>
      </c>
      <c r="D543" t="s">
        <v>739</v>
      </c>
      <c r="E543" t="s">
        <v>1247</v>
      </c>
      <c r="F543" t="s">
        <v>84</v>
      </c>
      <c r="G543" t="s">
        <v>85</v>
      </c>
      <c r="H543" s="3">
        <v>39832.449305555558</v>
      </c>
      <c r="I543" t="str">
        <f ca="1">TEXT(TRUNC(58.9666667), "0" &amp; CHAR(176) &amp; " ") &amp; TEXT(INT((ABS(58.9666667)- INT(ABS(58.9666667)))*60), "0' ") &amp; TEXT(((((ABS(58.9666667)-INT(ABS(58.9666667)))*60)- INT((ABS(58.9666667) - INT(ABS(58.9666667)))*60))*60), " 0''")</f>
        <v>58°c c58  0</v>
      </c>
      <c r="J543" t="str">
        <f ca="1">TEXT(TRUNC(5.75), "0" &amp; CHAR(176) &amp; " ") &amp; TEXT(INT((ABS(5.75)- INT(ABS(5.75)))*60), "0' ") &amp; TEXT(((((ABS(5.75)-INT(ABS(5.75)))*60)- INT((ABS(5.75) - INT(ABS(5.75)))*60))*60), " 0''")</f>
        <v>5°c c45  0</v>
      </c>
    </row>
    <row r="544" spans="1:10">
      <c r="A544" t="s">
        <v>10</v>
      </c>
      <c r="B544" s="2">
        <v>1200</v>
      </c>
      <c r="C544" t="s">
        <v>24</v>
      </c>
      <c r="D544" t="s">
        <v>1248</v>
      </c>
      <c r="E544" t="s">
        <v>1249</v>
      </c>
      <c r="F544" t="s">
        <v>179</v>
      </c>
      <c r="G544" t="s">
        <v>15</v>
      </c>
      <c r="H544" s="3">
        <v>39832.461805555555</v>
      </c>
      <c r="I544" t="str">
        <f ca="1">TEXT(TRUNC(40.83972), "0" &amp; CHAR(176) &amp; " ") &amp; TEXT(INT((ABS(40.83972)- INT(ABS(40.83972)))*60), "0' ") &amp; TEXT(((((ABS(40.83972)-INT(ABS(40.83972)))*60)- INT((ABS(40.83972) - INT(ABS(40.83972)))*60))*60), " 0''")</f>
        <v>40°c c50  23</v>
      </c>
      <c r="J544" t="str">
        <f ca="1">TEXT(TRUNC(-74.27694), "0" &amp; CHAR(176) &amp; " ") &amp; TEXT(INT((ABS(-74.27694)- INT(ABS(-74.27694)))*60), "0' ") &amp; TEXT(((((ABS(-74.27694)-INT(ABS(-74.27694)))*60)- INT((ABS(-74.27694) - INT(ABS(-74.27694)))*60))*60), " 0''")</f>
        <v>-74°c c16  37</v>
      </c>
    </row>
    <row r="545" spans="1:10">
      <c r="A545" t="s">
        <v>10</v>
      </c>
      <c r="B545" s="2">
        <v>1200</v>
      </c>
      <c r="C545" t="s">
        <v>24</v>
      </c>
      <c r="D545" t="s">
        <v>1196</v>
      </c>
      <c r="E545" t="s">
        <v>129</v>
      </c>
      <c r="F545" t="s">
        <v>130</v>
      </c>
      <c r="G545" t="s">
        <v>54</v>
      </c>
      <c r="H545" s="3">
        <v>39832.466666666667</v>
      </c>
      <c r="I545" t="str">
        <f ca="1">TEXT(TRUNC(57.1333333), "0" &amp; CHAR(176) &amp; " ") &amp; TEXT(INT((ABS(57.1333333)- INT(ABS(57.1333333)))*60), "0' ") &amp; TEXT(((((ABS(57.1333333)-INT(ABS(57.1333333)))*60)- INT((ABS(57.1333333) - INT(ABS(57.1333333)))*60))*60), " 0''")</f>
        <v>57°c c7  60</v>
      </c>
      <c r="J545" t="str">
        <f ca="1">TEXT(TRUNC(-2.1), "0" &amp; CHAR(176) &amp; " ") &amp; TEXT(INT((ABS(-2.1)- INT(ABS(-2.1)))*60), "0' ") &amp; TEXT(((((ABS(-2.1)-INT(ABS(-2.1)))*60)- INT((ABS(-2.1) - INT(ABS(-2.1)))*60))*60), " 0''")</f>
        <v>-2°c c6  0</v>
      </c>
    </row>
    <row r="546" spans="1:10">
      <c r="A546" t="s">
        <v>10</v>
      </c>
      <c r="B546" s="2">
        <v>1200</v>
      </c>
      <c r="C546" t="s">
        <v>11</v>
      </c>
      <c r="D546" t="s">
        <v>1250</v>
      </c>
      <c r="E546" t="s">
        <v>942</v>
      </c>
      <c r="F546" t="s">
        <v>513</v>
      </c>
      <c r="G546" t="s">
        <v>65</v>
      </c>
      <c r="H546" s="3">
        <v>39832.509722222225</v>
      </c>
      <c r="I546" t="str">
        <f ca="1">TEXT(TRUNC(53.3005556), "0" &amp; CHAR(176) &amp; " ") &amp; TEXT(INT((ABS(53.3005556)- INT(ABS(53.3005556)))*60), "0' ") &amp; TEXT(((((ABS(53.3005556)-INT(ABS(53.3005556)))*60)- INT((ABS(53.3005556) - INT(ABS(53.3005556)))*60))*60), " 0''")</f>
        <v>53°c c18  2</v>
      </c>
      <c r="J546" t="str">
        <f ca="1">TEXT(TRUNC(-6.2827778), "0" &amp; CHAR(176) &amp; " ") &amp; TEXT(INT((ABS(-6.2827778)- INT(ABS(-6.2827778)))*60), "0' ") &amp; TEXT(((((ABS(-6.2827778)-INT(ABS(-6.2827778)))*60)- INT((ABS(-6.2827778) - INT(ABS(-6.2827778)))*60))*60), " 0''")</f>
        <v>-6°c c16  58</v>
      </c>
    </row>
    <row r="547" spans="1:10">
      <c r="A547" t="s">
        <v>10</v>
      </c>
      <c r="B547" s="2">
        <v>1200</v>
      </c>
      <c r="C547" t="s">
        <v>24</v>
      </c>
      <c r="D547" t="s">
        <v>1251</v>
      </c>
      <c r="E547" t="s">
        <v>60</v>
      </c>
      <c r="F547" t="s">
        <v>61</v>
      </c>
      <c r="G547" t="s">
        <v>23</v>
      </c>
      <c r="H547" s="3">
        <v>39832.526388888888</v>
      </c>
      <c r="I547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547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548" spans="1:10">
      <c r="A548" t="s">
        <v>10</v>
      </c>
      <c r="B548" s="2">
        <v>1200</v>
      </c>
      <c r="C548" t="s">
        <v>24</v>
      </c>
      <c r="D548" t="s">
        <v>621</v>
      </c>
      <c r="E548" t="s">
        <v>1252</v>
      </c>
      <c r="F548" t="s">
        <v>357</v>
      </c>
      <c r="G548" t="s">
        <v>209</v>
      </c>
      <c r="H548" s="3">
        <v>39832.552083333336</v>
      </c>
      <c r="I548" t="str">
        <f ca="1">TEXT(TRUNC(59.3833333), "0" &amp; CHAR(176) &amp; " ") &amp; TEXT(INT((ABS(59.3833333)- INT(ABS(59.3833333)))*60), "0' ") &amp; TEXT(((((ABS(59.3833333)-INT(ABS(59.3833333)))*60)- INT((ABS(59.3833333) - INT(ABS(59.3833333)))*60))*60), " 0''")</f>
        <v>59°c c22  60</v>
      </c>
      <c r="J548" t="str">
        <f ca="1">TEXT(TRUNC(18.0666667), "0" &amp; CHAR(176) &amp; " ") &amp; TEXT(INT((ABS(18.0666667)- INT(ABS(18.0666667)))*60), "0' ") &amp; TEXT(((((ABS(18.0666667)-INT(ABS(18.0666667)))*60)- INT((ABS(18.0666667) - INT(ABS(18.0666667)))*60))*60), " 0''")</f>
        <v>18°c c4  0</v>
      </c>
    </row>
    <row r="549" spans="1:10">
      <c r="A549" t="s">
        <v>10</v>
      </c>
      <c r="B549" s="2">
        <v>1200</v>
      </c>
      <c r="C549" t="s">
        <v>11</v>
      </c>
      <c r="D549" t="s">
        <v>1253</v>
      </c>
      <c r="E549" t="s">
        <v>1254</v>
      </c>
      <c r="F549" t="s">
        <v>567</v>
      </c>
      <c r="G549" t="s">
        <v>15</v>
      </c>
      <c r="H549" s="3">
        <v>39832.5875</v>
      </c>
      <c r="I549" t="str">
        <f ca="1">TEXT(TRUNC(34.22556), "0" &amp; CHAR(176) &amp; " ") &amp; TEXT(INT((ABS(34.22556)- INT(ABS(34.22556)))*60), "0' ") &amp; TEXT(((((ABS(34.22556)-INT(ABS(34.22556)))*60)- INT((ABS(34.22556) - INT(ABS(34.22556)))*60))*60), " 0''")</f>
        <v>34°c c13  32</v>
      </c>
      <c r="J549" t="str">
        <f ca="1">TEXT(TRUNC(-77.945), "0" &amp; CHAR(176) &amp; " ") &amp; TEXT(INT((ABS(-77.945)- INT(ABS(-77.945)))*60), "0' ") &amp; TEXT(((((ABS(-77.945)-INT(ABS(-77.945)))*60)- INT((ABS(-77.945) - INT(ABS(-77.945)))*60))*60), " 0''")</f>
        <v>-77°c c56  42</v>
      </c>
    </row>
    <row r="550" spans="1:10">
      <c r="A550" t="s">
        <v>10</v>
      </c>
      <c r="B550" s="2">
        <v>1200</v>
      </c>
      <c r="C550" t="s">
        <v>11</v>
      </c>
      <c r="D550" t="s">
        <v>1255</v>
      </c>
      <c r="E550" t="s">
        <v>1256</v>
      </c>
      <c r="F550" t="s">
        <v>513</v>
      </c>
      <c r="G550" t="s">
        <v>65</v>
      </c>
      <c r="H550" s="3">
        <v>39832.601388888892</v>
      </c>
      <c r="I550" t="str">
        <f ca="1">TEXT(TRUNC(53.3263889), "0" &amp; CHAR(176) &amp; " ") &amp; TEXT(INT((ABS(53.3263889)- INT(ABS(53.3263889)))*60), "0' ") &amp; TEXT(((((ABS(53.3263889)-INT(ABS(53.3263889)))*60)- INT((ABS(53.3263889) - INT(ABS(53.3263889)))*60))*60), " 0''")</f>
        <v>53°c c19  35</v>
      </c>
      <c r="J550" t="str">
        <f ca="1">TEXT(TRUNC(-6.2947222), "0" &amp; CHAR(176) &amp; " ") &amp; TEXT(INT((ABS(-6.2947222)- INT(ABS(-6.2947222)))*60), "0' ") &amp; TEXT(((((ABS(-6.2947222)-INT(ABS(-6.2947222)))*60)- INT((ABS(-6.2947222) - INT(ABS(-6.2947222)))*60))*60), " 0''")</f>
        <v>-6°c c17  41</v>
      </c>
    </row>
    <row r="551" spans="1:10">
      <c r="A551" t="s">
        <v>10</v>
      </c>
      <c r="B551" s="2">
        <v>1200</v>
      </c>
      <c r="C551" t="s">
        <v>11</v>
      </c>
      <c r="D551" t="s">
        <v>760</v>
      </c>
      <c r="E551" t="s">
        <v>1257</v>
      </c>
      <c r="F551" t="s">
        <v>790</v>
      </c>
      <c r="G551" t="s">
        <v>15</v>
      </c>
      <c r="H551" s="3">
        <v>39832.620138888888</v>
      </c>
      <c r="I551" t="str">
        <f ca="1">TEXT(TRUNC(41.00861), "0" &amp; CHAR(176) &amp; " ") &amp; TEXT(INT((ABS(41.00861)- INT(ABS(41.00861)))*60), "0' ") &amp; TEXT(((((ABS(41.00861)-INT(ABS(41.00861)))*60)- INT((ABS(41.00861) - INT(ABS(41.00861)))*60))*60), " 0''")</f>
        <v>41°c c0  31</v>
      </c>
      <c r="J551" t="str">
        <f ca="1">TEXT(TRUNC(-91.9625), "0" &amp; CHAR(176) &amp; " ") &amp; TEXT(INT((ABS(-91.9625)- INT(ABS(-91.9625)))*60), "0' ") &amp; TEXT(((((ABS(-91.9625)-INT(ABS(-91.9625)))*60)- INT((ABS(-91.9625) - INT(ABS(-91.9625)))*60))*60), " 0''")</f>
        <v>-91°c c57  45</v>
      </c>
    </row>
    <row r="552" spans="1:10">
      <c r="A552" t="s">
        <v>10</v>
      </c>
      <c r="B552" s="2">
        <v>1200</v>
      </c>
      <c r="C552" t="s">
        <v>11</v>
      </c>
      <c r="D552" t="s">
        <v>1258</v>
      </c>
      <c r="E552" t="s">
        <v>1140</v>
      </c>
      <c r="F552" t="s">
        <v>27</v>
      </c>
      <c r="G552" t="s">
        <v>15</v>
      </c>
      <c r="H552" s="3">
        <v>39832.626388888886</v>
      </c>
      <c r="I552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552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553" spans="1:10">
      <c r="A553" t="s">
        <v>10</v>
      </c>
      <c r="B553" s="2">
        <v>1200</v>
      </c>
      <c r="C553" t="s">
        <v>11</v>
      </c>
      <c r="D553" t="s">
        <v>460</v>
      </c>
      <c r="E553" t="s">
        <v>1262</v>
      </c>
      <c r="F553" t="s">
        <v>580</v>
      </c>
      <c r="G553" t="s">
        <v>15</v>
      </c>
      <c r="H553" s="3">
        <v>39832.673611111109</v>
      </c>
      <c r="I553" t="str">
        <f ca="1">TEXT(TRUNC(41.02278), "0" &amp; CHAR(176) &amp; " ") &amp; TEXT(INT((ABS(41.02278)- INT(ABS(41.02278)))*60), "0' ") &amp; TEXT(((((ABS(41.02278)-INT(ABS(41.02278)))*60)- INT((ABS(41.02278) - INT(ABS(41.02278)))*60))*60), " 0''")</f>
        <v>41°c c1  22</v>
      </c>
      <c r="J553" t="str">
        <f ca="1">TEXT(TRUNC(-73.56528), "0" &amp; CHAR(176) &amp; " ") &amp; TEXT(INT((ABS(-73.56528)- INT(ABS(-73.56528)))*60), "0' ") &amp; TEXT(((((ABS(-73.56528)-INT(ABS(-73.56528)))*60)- INT((ABS(-73.56528) - INT(ABS(-73.56528)))*60))*60), " 0''")</f>
        <v>-73°c c33  55</v>
      </c>
    </row>
    <row r="554" spans="1:10">
      <c r="A554" t="s">
        <v>10</v>
      </c>
      <c r="B554" s="2">
        <v>1200</v>
      </c>
      <c r="C554" t="s">
        <v>11</v>
      </c>
      <c r="D554" t="s">
        <v>1263</v>
      </c>
      <c r="E554" t="s">
        <v>1264</v>
      </c>
      <c r="F554" t="s">
        <v>193</v>
      </c>
      <c r="G554" t="s">
        <v>15</v>
      </c>
      <c r="H554" s="3">
        <v>39832.677777777775</v>
      </c>
      <c r="I554" t="str">
        <f ca="1">TEXT(TRUNC(40.34083), "0" &amp; CHAR(176) &amp; " ") &amp; TEXT(INT((ABS(40.34083)- INT(ABS(40.34083)))*60), "0' ") &amp; TEXT(((((ABS(40.34083)-INT(ABS(40.34083)))*60)- INT((ABS(40.34083) - INT(ABS(40.34083)))*60))*60), " 0''")</f>
        <v>40°c c20  27</v>
      </c>
      <c r="J554" t="str">
        <f ca="1">TEXT(TRUNC(-76.41167), "0" &amp; CHAR(176) &amp; " ") &amp; TEXT(INT((ABS(-76.41167)- INT(ABS(-76.41167)))*60), "0' ") &amp; TEXT(((((ABS(-76.41167)-INT(ABS(-76.41167)))*60)- INT((ABS(-76.41167) - INT(ABS(-76.41167)))*60))*60), " 0''")</f>
        <v>-76°c c24  42</v>
      </c>
    </row>
    <row r="555" spans="1:10">
      <c r="A555" t="s">
        <v>10</v>
      </c>
      <c r="B555" s="2">
        <v>1200</v>
      </c>
      <c r="C555" t="s">
        <v>33</v>
      </c>
      <c r="D555" t="s">
        <v>1265</v>
      </c>
      <c r="E555" t="s">
        <v>1266</v>
      </c>
      <c r="F555" t="s">
        <v>193</v>
      </c>
      <c r="G555" t="s">
        <v>15</v>
      </c>
      <c r="H555" s="3">
        <v>39832.688888888886</v>
      </c>
      <c r="I555" t="str">
        <f ca="1">TEXT(TRUNC(39.95222), "0" &amp; CHAR(176) &amp; " ") &amp; TEXT(INT((ABS(39.95222)- INT(ABS(39.95222)))*60), "0' ") &amp; TEXT(((((ABS(39.95222)-INT(ABS(39.95222)))*60)- INT((ABS(39.95222) - INT(ABS(39.95222)))*60))*60), " 0''")</f>
        <v>39°c c57  8</v>
      </c>
      <c r="J555" t="str">
        <f ca="1">TEXT(TRUNC(-75.16417), "0" &amp; CHAR(176) &amp; " ") &amp; TEXT(INT((ABS(-75.16417)- INT(ABS(-75.16417)))*60), "0' ") &amp; TEXT(((((ABS(-75.16417)-INT(ABS(-75.16417)))*60)- INT((ABS(-75.16417) - INT(ABS(-75.16417)))*60))*60), " 0''")</f>
        <v>-75°c c9  51</v>
      </c>
    </row>
    <row r="556" spans="1:10">
      <c r="A556" t="s">
        <v>10</v>
      </c>
      <c r="B556" s="2">
        <v>1200</v>
      </c>
      <c r="C556" t="s">
        <v>11</v>
      </c>
      <c r="D556" t="s">
        <v>1267</v>
      </c>
      <c r="E556" t="s">
        <v>1268</v>
      </c>
      <c r="F556" t="s">
        <v>45</v>
      </c>
      <c r="G556" t="s">
        <v>15</v>
      </c>
      <c r="H556" s="3">
        <v>39832.704861111109</v>
      </c>
      <c r="I556" t="str">
        <f ca="1">TEXT(TRUNC(25.71222), "0" &amp; CHAR(176) &amp; " ") &amp; TEXT(INT((ABS(25.71222)- INT(ABS(25.71222)))*60), "0' ") &amp; TEXT(((((ABS(25.71222)-INT(ABS(25.71222)))*60)- INT((ABS(25.71222) - INT(ABS(25.71222)))*60))*60), " 0''")</f>
        <v>25°c c42  44</v>
      </c>
      <c r="J556" t="str">
        <f ca="1">TEXT(TRUNC(-80.25722), "0" &amp; CHAR(176) &amp; " ") &amp; TEXT(INT((ABS(-80.25722)- INT(ABS(-80.25722)))*60), "0' ") &amp; TEXT(((((ABS(-80.25722)-INT(ABS(-80.25722)))*60)- INT((ABS(-80.25722) - INT(ABS(-80.25722)))*60))*60), " 0''")</f>
        <v>-80°c c15  26</v>
      </c>
    </row>
    <row r="557" spans="1:10">
      <c r="A557" t="s">
        <v>10</v>
      </c>
      <c r="B557" s="2">
        <v>1200</v>
      </c>
      <c r="C557" t="s">
        <v>24</v>
      </c>
      <c r="D557" t="s">
        <v>1269</v>
      </c>
      <c r="E557" t="s">
        <v>1270</v>
      </c>
      <c r="F557" t="s">
        <v>190</v>
      </c>
      <c r="G557" t="s">
        <v>15</v>
      </c>
      <c r="H557" s="3">
        <v>39832.736111111109</v>
      </c>
      <c r="I557" t="str">
        <f ca="1">TEXT(TRUNC(42.33694), "0" &amp; CHAR(176) &amp; " ") &amp; TEXT(INT((ABS(42.33694)- INT(ABS(42.33694)))*60), "0' ") &amp; TEXT(((((ABS(42.33694)-INT(ABS(42.33694)))*60)- INT((ABS(42.33694) - INT(ABS(42.33694)))*60))*60), " 0''")</f>
        <v>42°c c20  13</v>
      </c>
      <c r="J557" t="str">
        <f ca="1">TEXT(TRUNC(-71.20972), "0" &amp; CHAR(176) &amp; " ") &amp; TEXT(INT((ABS(-71.20972)- INT(ABS(-71.20972)))*60), "0' ") &amp; TEXT(((((ABS(-71.20972)-INT(ABS(-71.20972)))*60)- INT((ABS(-71.20972) - INT(ABS(-71.20972)))*60))*60), " 0''")</f>
        <v>-71°c c12  35</v>
      </c>
    </row>
    <row r="558" spans="1:10">
      <c r="A558" t="s">
        <v>10</v>
      </c>
      <c r="B558" s="2">
        <v>1200</v>
      </c>
      <c r="C558" t="s">
        <v>33</v>
      </c>
      <c r="D558" t="s">
        <v>1271</v>
      </c>
      <c r="E558" t="s">
        <v>1272</v>
      </c>
      <c r="F558" t="s">
        <v>14</v>
      </c>
      <c r="G558" t="s">
        <v>15</v>
      </c>
      <c r="H558" s="3">
        <v>39832.7875</v>
      </c>
      <c r="I558" t="str">
        <f ca="1">TEXT(TRUNC(41.25639), "0" &amp; CHAR(176) &amp; " ") &amp; TEXT(INT((ABS(41.25639)- INT(ABS(41.25639)))*60), "0' ") &amp; TEXT(((((ABS(41.25639)-INT(ABS(41.25639)))*60)- INT((ABS(41.25639) - INT(ABS(41.25639)))*60))*60), " 0''")</f>
        <v>41°c c15  23</v>
      </c>
      <c r="J558" t="str">
        <f ca="1">TEXT(TRUNC(-74.36028), "0" &amp; CHAR(176) &amp; " ") &amp; TEXT(INT((ABS(-74.36028)- INT(ABS(-74.36028)))*60), "0' ") &amp; TEXT(((((ABS(-74.36028)-INT(ABS(-74.36028)))*60)- INT((ABS(-74.36028) - INT(ABS(-74.36028)))*60))*60), " 0''")</f>
        <v>-74°c c21  37</v>
      </c>
    </row>
    <row r="559" spans="1:10">
      <c r="A559" t="s">
        <v>10</v>
      </c>
      <c r="B559" s="2">
        <v>1200</v>
      </c>
      <c r="C559" t="s">
        <v>50</v>
      </c>
      <c r="D559" t="s">
        <v>1273</v>
      </c>
      <c r="E559" t="s">
        <v>1274</v>
      </c>
      <c r="F559" t="s">
        <v>476</v>
      </c>
      <c r="G559" t="s">
        <v>15</v>
      </c>
      <c r="H559" s="3">
        <v>39832.796527777777</v>
      </c>
      <c r="I559" t="str">
        <f ca="1">TEXT(TRUNC(34.94889), "0" &amp; CHAR(176) &amp; " ") &amp; TEXT(INT((ABS(34.94889)- INT(ABS(34.94889)))*60), "0' ") &amp; TEXT(((((ABS(34.94889)-INT(ABS(34.94889)))*60)- INT((ABS(34.94889) - INT(ABS(34.94889)))*60))*60), " 0''")</f>
        <v>34°c c56  56</v>
      </c>
      <c r="J559" t="str">
        <f ca="1">TEXT(TRUNC(-85.25694), "0" &amp; CHAR(176) &amp; " ") &amp; TEXT(INT((ABS(-85.25694)- INT(ABS(-85.25694)))*60), "0' ") &amp; TEXT(((((ABS(-85.25694)-INT(ABS(-85.25694)))*60)- INT((ABS(-85.25694) - INT(ABS(-85.25694)))*60))*60), " 0''")</f>
        <v>-85°c c15  25</v>
      </c>
    </row>
    <row r="560" spans="1:10">
      <c r="A560" t="s">
        <v>10</v>
      </c>
      <c r="B560" s="2">
        <v>1200</v>
      </c>
      <c r="C560" t="s">
        <v>11</v>
      </c>
      <c r="D560" t="s">
        <v>296</v>
      </c>
      <c r="E560" t="s">
        <v>1043</v>
      </c>
      <c r="F560" t="s">
        <v>152</v>
      </c>
      <c r="G560" t="s">
        <v>15</v>
      </c>
      <c r="H560" s="3">
        <v>39832.9625</v>
      </c>
      <c r="I560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560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561" spans="1:10">
      <c r="A561" t="s">
        <v>10</v>
      </c>
      <c r="B561" s="2">
        <v>1200</v>
      </c>
      <c r="C561" t="s">
        <v>50</v>
      </c>
      <c r="D561" t="s">
        <v>585</v>
      </c>
      <c r="E561" t="s">
        <v>1275</v>
      </c>
      <c r="F561" t="s">
        <v>1276</v>
      </c>
      <c r="G561" t="s">
        <v>1277</v>
      </c>
      <c r="H561" s="3">
        <v>39833.095138888886</v>
      </c>
      <c r="I561" t="str">
        <f ca="1">TEXT(TRUNC(18.4666667), "0" &amp; CHAR(176) &amp; " ") &amp; TEXT(INT((ABS(18.4666667)- INT(ABS(18.4666667)))*60), "0' ") &amp; TEXT(((((ABS(18.4666667)-INT(ABS(18.4666667)))*60)- INT((ABS(18.4666667) - INT(ABS(18.4666667)))*60))*60), " 0''")</f>
        <v>18°c c28  0</v>
      </c>
      <c r="J561" t="str">
        <f ca="1">TEXT(TRUNC(-69.9), "0" &amp; CHAR(176) &amp; " ") &amp; TEXT(INT((ABS(-69.9)- INT(ABS(-69.9)))*60), "0' ") &amp; TEXT(((((ABS(-69.9)-INT(ABS(-69.9)))*60)- INT((ABS(-69.9) - INT(ABS(-69.9)))*60))*60), " 0''")</f>
        <v>-69°c c54  0</v>
      </c>
    </row>
    <row r="562" spans="1:10">
      <c r="A562" t="s">
        <v>10</v>
      </c>
      <c r="B562" s="2">
        <v>1200</v>
      </c>
      <c r="C562" t="s">
        <v>24</v>
      </c>
      <c r="D562" t="s">
        <v>1278</v>
      </c>
      <c r="E562" t="s">
        <v>1279</v>
      </c>
      <c r="F562" t="s">
        <v>53</v>
      </c>
      <c r="G562" t="s">
        <v>54</v>
      </c>
      <c r="H562" s="3">
        <v>39833.132638888892</v>
      </c>
      <c r="I562" t="str">
        <f ca="1">TEXT(TRUNC(53.5333333), "0" &amp; CHAR(176) &amp; " ") &amp; TEXT(INT((ABS(53.5333333)- INT(ABS(53.5333333)))*60), "0' ") &amp; TEXT(((((ABS(53.5333333)-INT(ABS(53.5333333)))*60)- INT((ABS(53.5333333) - INT(ABS(53.5333333)))*60))*60), " 0''")</f>
        <v>53°c c31  60</v>
      </c>
      <c r="J562" t="str">
        <f ca="1">TEXT(TRUNC(-2.6166667), "0" &amp; CHAR(176) &amp; " ") &amp; TEXT(INT((ABS(-2.6166667)- INT(ABS(-2.6166667)))*60), "0' ") &amp; TEXT(((((ABS(-2.6166667)-INT(ABS(-2.6166667)))*60)- INT((ABS(-2.6166667) - INT(ABS(-2.6166667)))*60))*60), " 0''")</f>
        <v>-2°c c37  0</v>
      </c>
    </row>
    <row r="563" spans="1:10">
      <c r="A563" t="s">
        <v>10</v>
      </c>
      <c r="B563" s="2">
        <v>1200</v>
      </c>
      <c r="C563" t="s">
        <v>24</v>
      </c>
      <c r="D563" t="s">
        <v>366</v>
      </c>
      <c r="E563" t="s">
        <v>1280</v>
      </c>
      <c r="F563" t="s">
        <v>113</v>
      </c>
      <c r="G563" t="s">
        <v>49</v>
      </c>
      <c r="H563" s="3">
        <v>39833.160416666666</v>
      </c>
      <c r="I563" t="str">
        <f ca="1">TEXT(TRUNC(-24.8166667), "0" &amp; CHAR(176) &amp; " ") &amp; TEXT(INT((ABS(-24.8166667)- INT(ABS(-24.8166667)))*60), "0' ") &amp; TEXT(((((ABS(-24.8166667)-INT(ABS(-24.8166667)))*60)- INT((ABS(-24.8166667) - INT(ABS(-24.8166667)))*60))*60), " 0''")</f>
        <v>-24°c c49  0</v>
      </c>
      <c r="J563" t="str">
        <f ca="1">TEXT(TRUNC(152.4166667), "0" &amp; CHAR(176) &amp; " ") &amp; TEXT(INT((ABS(152.4166667)- INT(ABS(152.4166667)))*60), "0' ") &amp; TEXT(((((ABS(152.4166667)-INT(ABS(152.4166667)))*60)- INT((ABS(152.4166667) - INT(ABS(152.4166667)))*60))*60), " 0''")</f>
        <v>152°c c25  0</v>
      </c>
    </row>
    <row r="564" spans="1:10">
      <c r="A564" t="s">
        <v>10</v>
      </c>
      <c r="B564" s="2">
        <v>1200</v>
      </c>
      <c r="C564" t="s">
        <v>24</v>
      </c>
      <c r="D564" t="s">
        <v>1281</v>
      </c>
      <c r="E564" t="s">
        <v>1282</v>
      </c>
      <c r="F564" t="s">
        <v>400</v>
      </c>
      <c r="G564" t="s">
        <v>15</v>
      </c>
      <c r="H564" s="3">
        <v>39833.209027777775</v>
      </c>
      <c r="I564" t="str">
        <f ca="1">TEXT(TRUNC(42.54667), "0" &amp; CHAR(176) &amp; " ") &amp; TEXT(INT((ABS(42.54667)- INT(ABS(42.54667)))*60), "0' ") &amp; TEXT(((((ABS(42.54667)-INT(ABS(42.54667)))*60)- INT((ABS(42.54667) - INT(ABS(42.54667)))*60))*60), " 0''")</f>
        <v>42°c c32  48</v>
      </c>
      <c r="J564" t="str">
        <f ca="1">TEXT(TRUNC(-83.21139), "0" &amp; CHAR(176) &amp; " ") &amp; TEXT(INT((ABS(-83.21139)- INT(ABS(-83.21139)))*60), "0' ") &amp; TEXT(((((ABS(-83.21139)-INT(ABS(-83.21139)))*60)- INT((ABS(-83.21139) - INT(ABS(-83.21139)))*60))*60), " 0''")</f>
        <v>-83°c c12  41</v>
      </c>
    </row>
    <row r="565" spans="1:10">
      <c r="A565" t="s">
        <v>10</v>
      </c>
      <c r="B565" s="2">
        <v>1200</v>
      </c>
      <c r="C565" t="s">
        <v>24</v>
      </c>
      <c r="D565" t="s">
        <v>752</v>
      </c>
      <c r="E565" t="s">
        <v>1286</v>
      </c>
      <c r="F565" t="s">
        <v>53</v>
      </c>
      <c r="G565" t="s">
        <v>54</v>
      </c>
      <c r="H565" s="3">
        <v>39833.243055555555</v>
      </c>
      <c r="I565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565" t="str">
        <f ca="1">TEXT(TRUNC(-3.2833333), "0" &amp; CHAR(176) &amp; " ") &amp; TEXT(INT((ABS(-3.2833333)- INT(ABS(-3.2833333)))*60), "0' ") &amp; TEXT(((((ABS(-3.2833333)-INT(ABS(-3.2833333)))*60)- INT((ABS(-3.2833333) - INT(ABS(-3.2833333)))*60))*60), " 0''")</f>
        <v>-3°c c16  60</v>
      </c>
    </row>
    <row r="566" spans="1:10">
      <c r="A566" t="s">
        <v>10</v>
      </c>
      <c r="B566" s="2">
        <v>1200</v>
      </c>
      <c r="C566" t="s">
        <v>50</v>
      </c>
      <c r="D566" t="s">
        <v>1287</v>
      </c>
      <c r="E566" t="s">
        <v>1020</v>
      </c>
      <c r="F566" t="s">
        <v>53</v>
      </c>
      <c r="G566" t="s">
        <v>54</v>
      </c>
      <c r="H566" s="3">
        <v>39833.245138888888</v>
      </c>
      <c r="I566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566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567" spans="1:10">
      <c r="A567" t="s">
        <v>10</v>
      </c>
      <c r="B567" s="2">
        <v>1200</v>
      </c>
      <c r="C567" t="s">
        <v>11</v>
      </c>
      <c r="D567" t="s">
        <v>91</v>
      </c>
      <c r="E567" t="s">
        <v>1284</v>
      </c>
      <c r="F567" t="s">
        <v>1285</v>
      </c>
      <c r="G567" t="s">
        <v>15</v>
      </c>
      <c r="H567" s="3">
        <v>39833.252083333333</v>
      </c>
      <c r="I567" t="str">
        <f ca="1">TEXT(TRUNC(32.525), "0" &amp; CHAR(176) &amp; " ") &amp; TEXT(INT((ABS(32.525)- INT(ABS(32.525)))*60), "0' ") &amp; TEXT(((((ABS(32.525)-INT(ABS(32.525)))*60)- INT((ABS(32.525) - INT(ABS(32.525)))*60))*60), " 0''")</f>
        <v>32°c c31  30</v>
      </c>
      <c r="J567" t="str">
        <f ca="1">TEXT(TRUNC(-93.75), "0" &amp; CHAR(176) &amp; " ") &amp; TEXT(INT((ABS(-93.75)- INT(ABS(-93.75)))*60), "0' ") &amp; TEXT(((((ABS(-93.75)-INT(ABS(-93.75)))*60)- INT((ABS(-93.75) - INT(ABS(-93.75)))*60))*60), " 0''")</f>
        <v>-93°c c45  0</v>
      </c>
    </row>
    <row r="568" spans="1:10">
      <c r="A568" t="s">
        <v>10</v>
      </c>
      <c r="B568" s="2">
        <v>1200</v>
      </c>
      <c r="C568" t="s">
        <v>11</v>
      </c>
      <c r="D568" t="s">
        <v>1290</v>
      </c>
      <c r="E568" t="s">
        <v>1291</v>
      </c>
      <c r="F568" t="s">
        <v>1292</v>
      </c>
      <c r="G568" t="s">
        <v>145</v>
      </c>
      <c r="H568" s="3">
        <v>39833.338888888888</v>
      </c>
      <c r="I568" t="str">
        <f ca="1">TEXT(TRUNC(46.9), "0" &amp; CHAR(176) &amp; " ") &amp; TEXT(INT((ABS(46.9)- INT(ABS(46.9)))*60), "0' ") &amp; TEXT(((((ABS(46.9)-INT(ABS(46.9)))*60)- INT((ABS(46.9) - INT(ABS(46.9)))*60))*60), " 0''")</f>
        <v>46°c c53  60</v>
      </c>
      <c r="J568" t="str">
        <f ca="1">TEXT(TRUNC(19.7833333), "0" &amp; CHAR(176) &amp; " ") &amp; TEXT(INT((ABS(19.7833333)- INT(ABS(19.7833333)))*60), "0' ") &amp; TEXT(((((ABS(19.7833333)-INT(ABS(19.7833333)))*60)- INT((ABS(19.7833333) - INT(ABS(19.7833333)))*60))*60), " 0''")</f>
        <v>19°c c46  60</v>
      </c>
    </row>
    <row r="569" spans="1:10">
      <c r="A569" t="s">
        <v>10</v>
      </c>
      <c r="B569" s="2">
        <v>1200</v>
      </c>
      <c r="C569" t="s">
        <v>33</v>
      </c>
      <c r="D569" t="s">
        <v>1293</v>
      </c>
      <c r="E569" t="s">
        <v>215</v>
      </c>
      <c r="F569" t="s">
        <v>14</v>
      </c>
      <c r="G569" t="s">
        <v>15</v>
      </c>
      <c r="H569" s="3">
        <v>39833.340277777781</v>
      </c>
      <c r="I569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569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570" spans="1:10">
      <c r="A570" t="s">
        <v>10</v>
      </c>
      <c r="B570" s="2">
        <v>1200</v>
      </c>
      <c r="C570" t="s">
        <v>11</v>
      </c>
      <c r="D570" t="s">
        <v>1294</v>
      </c>
      <c r="E570" t="s">
        <v>1295</v>
      </c>
      <c r="F570" t="s">
        <v>197</v>
      </c>
      <c r="G570" t="s">
        <v>15</v>
      </c>
      <c r="H570" s="3">
        <v>39833.344444444447</v>
      </c>
      <c r="I570" t="str">
        <f ca="1">TEXT(TRUNC(35.08667), "0" &amp; CHAR(176) &amp; " ") &amp; TEXT(INT((ABS(35.08667)- INT(ABS(35.08667)))*60), "0' ") &amp; TEXT(((((ABS(35.08667)-INT(ABS(35.08667)))*60)- INT((ABS(35.08667) - INT(ABS(35.08667)))*60))*60), " 0''")</f>
        <v>35°c c5  12</v>
      </c>
      <c r="J570" t="str">
        <f ca="1">TEXT(TRUNC(-89.81), "0" &amp; CHAR(176) &amp; " ") &amp; TEXT(INT((ABS(-89.81)- INT(ABS(-89.81)))*60), "0' ") &amp; TEXT(((((ABS(-89.81)-INT(ABS(-89.81)))*60)- INT((ABS(-89.81) - INT(ABS(-89.81)))*60))*60), " 0''")</f>
        <v>-89°c c48  36</v>
      </c>
    </row>
    <row r="571" spans="1:10">
      <c r="A571" t="s">
        <v>10</v>
      </c>
      <c r="B571" s="2">
        <v>1200</v>
      </c>
      <c r="C571" t="s">
        <v>11</v>
      </c>
      <c r="D571" t="s">
        <v>585</v>
      </c>
      <c r="E571" t="s">
        <v>1296</v>
      </c>
      <c r="F571" t="s">
        <v>1074</v>
      </c>
      <c r="G571" t="s">
        <v>15</v>
      </c>
      <c r="H571" s="3">
        <v>39833.349305555559</v>
      </c>
      <c r="I571" t="str">
        <f ca="1">TEXT(TRUNC(38.32444), "0" &amp; CHAR(176) &amp; " ") &amp; TEXT(INT((ABS(38.32444)- INT(ABS(38.32444)))*60), "0' ") &amp; TEXT(((((ABS(38.32444)-INT(ABS(38.32444)))*60)- INT((ABS(38.32444) - INT(ABS(38.32444)))*60))*60), " 0''")</f>
        <v>38°c c19  28</v>
      </c>
      <c r="J571" t="str">
        <f ca="1">TEXT(TRUNC(-85.87361), "0" &amp; CHAR(176) &amp; " ") &amp; TEXT(INT((ABS(-85.87361)- INT(ABS(-85.87361)))*60), "0' ") &amp; TEXT(((((ABS(-85.87361)-INT(ABS(-85.87361)))*60)- INT((ABS(-85.87361) - INT(ABS(-85.87361)))*60))*60), " 0''")</f>
        <v>-85°c c52  25</v>
      </c>
    </row>
    <row r="572" spans="1:10">
      <c r="A572" t="s">
        <v>10</v>
      </c>
      <c r="B572" s="2">
        <v>1200</v>
      </c>
      <c r="C572" t="s">
        <v>24</v>
      </c>
      <c r="D572" t="s">
        <v>554</v>
      </c>
      <c r="E572" t="s">
        <v>1297</v>
      </c>
      <c r="F572" t="s">
        <v>190</v>
      </c>
      <c r="G572" t="s">
        <v>15</v>
      </c>
      <c r="H572" s="3">
        <v>39833.36875</v>
      </c>
      <c r="I572" t="str">
        <f ca="1">TEXT(TRUNC(42.45222), "0" &amp; CHAR(176) &amp; " ") &amp; TEXT(INT((ABS(42.45222)- INT(ABS(42.45222)))*60), "0' ") &amp; TEXT(((((ABS(42.45222)-INT(ABS(42.45222)))*60)- INT((ABS(42.45222) - INT(ABS(42.45222)))*60))*60), " 0''")</f>
        <v>42°c c27  8</v>
      </c>
      <c r="J572" t="str">
        <f ca="1">TEXT(TRUNC(-71.1375), "0" &amp; CHAR(176) &amp; " ") &amp; TEXT(INT((ABS(-71.1375)- INT(ABS(-71.1375)))*60), "0' ") &amp; TEXT(((((ABS(-71.1375)-INT(ABS(-71.1375)))*60)- INT((ABS(-71.1375) - INT(ABS(-71.1375)))*60))*60), " 0''")</f>
        <v>-71°c c8  15</v>
      </c>
    </row>
    <row r="573" spans="1:10">
      <c r="A573" t="s">
        <v>10</v>
      </c>
      <c r="B573" s="2">
        <v>1200</v>
      </c>
      <c r="C573" t="s">
        <v>24</v>
      </c>
      <c r="D573" t="s">
        <v>456</v>
      </c>
      <c r="E573" t="s">
        <v>154</v>
      </c>
      <c r="F573" t="s">
        <v>80</v>
      </c>
      <c r="G573" t="s">
        <v>81</v>
      </c>
      <c r="H573" s="3">
        <v>39833.373611111114</v>
      </c>
      <c r="I573" t="str">
        <f ca="1">TEXT(TRUNC(53.55), "0" &amp; CHAR(176) &amp; " ") &amp; TEXT(INT((ABS(53.55)- INT(ABS(53.55)))*60), "0' ") &amp; TEXT(((((ABS(53.55)-INT(ABS(53.55)))*60)- INT((ABS(53.55) - INT(ABS(53.55)))*60))*60), " 0''")</f>
        <v>53°c c32  60</v>
      </c>
      <c r="J573" t="str">
        <f ca="1">TEXT(TRUNC(-113.5), "0" &amp; CHAR(176) &amp; " ") &amp; TEXT(INT((ABS(-113.5)- INT(ABS(-113.5)))*60), "0' ") &amp; TEXT(((((ABS(-113.5)-INT(ABS(-113.5)))*60)- INT((ABS(-113.5) - INT(ABS(-113.5)))*60))*60), " 0''")</f>
        <v>-113°c c30  0</v>
      </c>
    </row>
    <row r="574" spans="1:10">
      <c r="A574" t="s">
        <v>10</v>
      </c>
      <c r="B574" s="2">
        <v>1200</v>
      </c>
      <c r="C574" t="s">
        <v>11</v>
      </c>
      <c r="D574" t="s">
        <v>1301</v>
      </c>
      <c r="E574" t="s">
        <v>1302</v>
      </c>
      <c r="F574" t="s">
        <v>57</v>
      </c>
      <c r="G574" t="s">
        <v>15</v>
      </c>
      <c r="H574" s="3">
        <v>39833.498611111114</v>
      </c>
      <c r="I574" t="str">
        <f ca="1">TEXT(TRUNC(32.85722), "0" &amp; CHAR(176) &amp; " ") &amp; TEXT(INT((ABS(32.85722)- INT(ABS(32.85722)))*60), "0' ") &amp; TEXT(((((ABS(32.85722)-INT(ABS(32.85722)))*60)- INT((ABS(32.85722) - INT(ABS(32.85722)))*60))*60), " 0''")</f>
        <v>32°c c51  26</v>
      </c>
      <c r="J574" t="str">
        <f ca="1">TEXT(TRUNC(-116.92139), "0" &amp; CHAR(176) &amp; " ") &amp; TEXT(INT((ABS(-116.92139)- INT(ABS(-116.92139)))*60), "0' ") &amp; TEXT(((((ABS(-116.92139)-INT(ABS(-116.92139)))*60)- INT((ABS(-116.92139) - INT(ABS(-116.92139)))*60))*60), " 0''")</f>
        <v>-116°c c55  17</v>
      </c>
    </row>
    <row r="575" spans="1:10">
      <c r="A575" t="s">
        <v>10</v>
      </c>
      <c r="B575" s="2">
        <v>1200</v>
      </c>
      <c r="C575" t="s">
        <v>24</v>
      </c>
      <c r="D575" t="s">
        <v>1303</v>
      </c>
      <c r="E575" t="s">
        <v>149</v>
      </c>
      <c r="F575" t="s">
        <v>98</v>
      </c>
      <c r="G575" t="s">
        <v>15</v>
      </c>
      <c r="H575" s="3">
        <v>39833.522222222222</v>
      </c>
      <c r="I575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575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576" spans="1:10">
      <c r="A576" t="s">
        <v>10</v>
      </c>
      <c r="B576" s="2">
        <v>1200</v>
      </c>
      <c r="C576" t="s">
        <v>11</v>
      </c>
      <c r="D576" t="s">
        <v>1304</v>
      </c>
      <c r="E576" t="s">
        <v>1305</v>
      </c>
      <c r="F576" t="s">
        <v>14</v>
      </c>
      <c r="G576" t="s">
        <v>15</v>
      </c>
      <c r="H576" s="3">
        <v>39833.523611111108</v>
      </c>
      <c r="I576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576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577" spans="1:10">
      <c r="A577" t="s">
        <v>10</v>
      </c>
      <c r="B577" s="2">
        <v>1200</v>
      </c>
      <c r="C577" t="s">
        <v>11</v>
      </c>
      <c r="D577" t="s">
        <v>1253</v>
      </c>
      <c r="E577" t="s">
        <v>1306</v>
      </c>
      <c r="F577" t="s">
        <v>113</v>
      </c>
      <c r="G577" t="s">
        <v>49</v>
      </c>
      <c r="H577" s="3">
        <v>39833.57916666667</v>
      </c>
      <c r="I577" t="str">
        <f ca="1">TEXT(TRUNC(-27.4833333), "0" &amp; CHAR(176) &amp; " ") &amp; TEXT(INT((ABS(-27.4833333)- INT(ABS(-27.4833333)))*60), "0' ") &amp; TEXT(((((ABS(-27.4833333)-INT(ABS(-27.4833333)))*60)- INT((ABS(-27.4833333) - INT(ABS(-27.4833333)))*60))*60), " 0''")</f>
        <v>-27°c c28  60</v>
      </c>
      <c r="J577" t="str">
        <f ca="1">TEXT(TRUNC(153.2166667), "0" &amp; CHAR(176) &amp; " ") &amp; TEXT(INT((ABS(153.2166667)- INT(ABS(153.2166667)))*60), "0' ") &amp; TEXT(((((ABS(153.2166667)-INT(ABS(153.2166667)))*60)- INT((ABS(153.2166667) - INT(ABS(153.2166667)))*60))*60), " 0''")</f>
        <v>153°c c13  0</v>
      </c>
    </row>
    <row r="578" spans="1:10">
      <c r="A578" t="s">
        <v>10</v>
      </c>
      <c r="B578" s="2">
        <v>1200</v>
      </c>
      <c r="C578" t="s">
        <v>11</v>
      </c>
      <c r="D578" t="s">
        <v>1309</v>
      </c>
      <c r="E578" t="s">
        <v>1310</v>
      </c>
      <c r="F578" t="s">
        <v>57</v>
      </c>
      <c r="G578" t="s">
        <v>15</v>
      </c>
      <c r="H578" s="3">
        <v>39833.621527777781</v>
      </c>
      <c r="I578" t="str">
        <f ca="1">TEXT(TRUNC(33.81694), "0" &amp; CHAR(176) &amp; " ") &amp; TEXT(INT((ABS(33.81694)- INT(ABS(33.81694)))*60), "0' ") &amp; TEXT(((((ABS(33.81694)-INT(ABS(33.81694)))*60)- INT((ABS(33.81694) - INT(ABS(33.81694)))*60))*60), " 0''")</f>
        <v>33°c c49  1</v>
      </c>
      <c r="J578" t="str">
        <f ca="1">TEXT(TRUNC(-118.03639), "0" &amp; CHAR(176) &amp; " ") &amp; TEXT(INT((ABS(-118.03639)- INT(ABS(-118.03639)))*60), "0' ") &amp; TEXT(((((ABS(-118.03639)-INT(ABS(-118.03639)))*60)- INT((ABS(-118.03639) - INT(ABS(-118.03639)))*60))*60), " 0''")</f>
        <v>-118°c c2  11</v>
      </c>
    </row>
    <row r="579" spans="1:10">
      <c r="A579" t="s">
        <v>10</v>
      </c>
      <c r="B579" s="2">
        <v>1200</v>
      </c>
      <c r="C579" t="s">
        <v>24</v>
      </c>
      <c r="D579" t="s">
        <v>1311</v>
      </c>
      <c r="E579" t="s">
        <v>258</v>
      </c>
      <c r="F579" t="s">
        <v>259</v>
      </c>
      <c r="G579" t="s">
        <v>15</v>
      </c>
      <c r="H579" s="3">
        <v>39833.644444444442</v>
      </c>
      <c r="I579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579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580" spans="1:10">
      <c r="A580" t="s">
        <v>10</v>
      </c>
      <c r="B580" s="2">
        <v>1200</v>
      </c>
      <c r="C580" t="s">
        <v>24</v>
      </c>
      <c r="D580" t="s">
        <v>1312</v>
      </c>
      <c r="E580" t="s">
        <v>1313</v>
      </c>
      <c r="F580" t="s">
        <v>45</v>
      </c>
      <c r="G580" t="s">
        <v>15</v>
      </c>
      <c r="H580" s="3">
        <v>39833.688888888886</v>
      </c>
      <c r="I580" t="str">
        <f ca="1">TEXT(TRUNC(26.30972), "0" &amp; CHAR(176) &amp; " ") &amp; TEXT(INT((ABS(26.30972)- INT(ABS(26.30972)))*60), "0' ") &amp; TEXT(((((ABS(26.30972)-INT(ABS(26.30972)))*60)- INT((ABS(26.30972) - INT(ABS(26.30972)))*60))*60), " 0''")</f>
        <v>26°c c18  35</v>
      </c>
      <c r="J580" t="str">
        <f ca="1">TEXT(TRUNC(-80.2375), "0" &amp; CHAR(176) &amp; " ") &amp; TEXT(INT((ABS(-80.2375)- INT(ABS(-80.2375)))*60), "0' ") &amp; TEXT(((((ABS(-80.2375)-INT(ABS(-80.2375)))*60)- INT((ABS(-80.2375) - INT(ABS(-80.2375)))*60))*60), " 0''")</f>
        <v>-80°c c14  15</v>
      </c>
    </row>
    <row r="581" spans="1:10">
      <c r="A581" t="s">
        <v>10</v>
      </c>
      <c r="B581" s="2">
        <v>1200</v>
      </c>
      <c r="C581" t="s">
        <v>33</v>
      </c>
      <c r="D581" t="s">
        <v>1314</v>
      </c>
      <c r="E581" t="s">
        <v>475</v>
      </c>
      <c r="F581" t="s">
        <v>476</v>
      </c>
      <c r="G581" t="s">
        <v>15</v>
      </c>
      <c r="H581" s="3">
        <v>39833.797222222223</v>
      </c>
      <c r="I581" t="str">
        <f ca="1">TEXT(TRUNC(33.74889), "0" &amp; CHAR(176) &amp; " ") &amp; TEXT(INT((ABS(33.74889)- INT(ABS(33.74889)))*60), "0' ") &amp; TEXT(((((ABS(33.74889)-INT(ABS(33.74889)))*60)- INT((ABS(33.74889) - INT(ABS(33.74889)))*60))*60), " 0''")</f>
        <v>33°c c44  56</v>
      </c>
      <c r="J581" t="str">
        <f ca="1">TEXT(TRUNC(-84.38806), "0" &amp; CHAR(176) &amp; " ") &amp; TEXT(INT((ABS(-84.38806)- INT(ABS(-84.38806)))*60), "0' ") &amp; TEXT(((((ABS(-84.38806)-INT(ABS(-84.38806)))*60)- INT((ABS(-84.38806) - INT(ABS(-84.38806)))*60))*60), " 0''")</f>
        <v>-84°c c23  17</v>
      </c>
    </row>
    <row r="582" spans="1:10">
      <c r="A582" t="s">
        <v>10</v>
      </c>
      <c r="B582" s="2">
        <v>1200</v>
      </c>
      <c r="C582" t="s">
        <v>24</v>
      </c>
      <c r="D582" t="s">
        <v>1315</v>
      </c>
      <c r="E582" t="s">
        <v>1152</v>
      </c>
      <c r="F582" t="s">
        <v>762</v>
      </c>
      <c r="G582" t="s">
        <v>763</v>
      </c>
      <c r="H582" s="3">
        <v>39833.839583333334</v>
      </c>
      <c r="I582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582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583" spans="1:10">
      <c r="A583" t="s">
        <v>10</v>
      </c>
      <c r="B583" s="2">
        <v>1200</v>
      </c>
      <c r="C583" t="s">
        <v>11</v>
      </c>
      <c r="D583" t="s">
        <v>1316</v>
      </c>
      <c r="E583" t="s">
        <v>1317</v>
      </c>
      <c r="F583" t="s">
        <v>53</v>
      </c>
      <c r="G583" t="s">
        <v>54</v>
      </c>
      <c r="H583" s="3">
        <v>39834.088194444441</v>
      </c>
      <c r="I583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583" t="str">
        <f ca="1">TEXT(TRUNC(-0.7833333), "0" &amp; CHAR(176) &amp; " ") &amp; TEXT(INT((ABS(-0.7833333)- INT(ABS(-0.7833333)))*60), "0' ") &amp; TEXT(((((ABS(-0.7833333)-INT(ABS(-0.7833333)))*60)- INT((ABS(-0.7833333) - INT(ABS(-0.7833333)))*60))*60), " 0''")</f>
        <v>0°c c46  60</v>
      </c>
    </row>
    <row r="584" spans="1:10">
      <c r="A584" t="s">
        <v>10</v>
      </c>
      <c r="B584" s="2">
        <v>1200</v>
      </c>
      <c r="C584" t="s">
        <v>24</v>
      </c>
      <c r="D584" t="s">
        <v>1318</v>
      </c>
      <c r="E584" t="s">
        <v>118</v>
      </c>
      <c r="F584" t="s">
        <v>53</v>
      </c>
      <c r="G584" t="s">
        <v>54</v>
      </c>
      <c r="H584" s="3">
        <v>39834.09375</v>
      </c>
      <c r="I584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584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585" spans="1:10">
      <c r="A585" t="s">
        <v>10</v>
      </c>
      <c r="B585" s="2">
        <v>1200</v>
      </c>
      <c r="C585" t="s">
        <v>24</v>
      </c>
      <c r="D585" t="s">
        <v>414</v>
      </c>
      <c r="E585" t="s">
        <v>1320</v>
      </c>
      <c r="F585" t="s">
        <v>1321</v>
      </c>
      <c r="G585" t="s">
        <v>280</v>
      </c>
      <c r="H585" s="3">
        <v>39834.174305555556</v>
      </c>
      <c r="I585" t="str">
        <f ca="1">TEXT(TRUNC(50.1333333), "0" &amp; CHAR(176) &amp; " ") &amp; TEXT(INT((ABS(50.1333333)- INT(ABS(50.1333333)))*60), "0' ") &amp; TEXT(((((ABS(50.1333333)-INT(ABS(50.1333333)))*60)- INT((ABS(50.1333333) - INT(ABS(50.1333333)))*60))*60), " 0''")</f>
        <v>50°c c7  60</v>
      </c>
      <c r="J585" t="str">
        <f ca="1">TEXT(TRUNC(14.3833333), "0" &amp; CHAR(176) &amp; " ") &amp; TEXT(INT((ABS(14.3833333)- INT(ABS(14.3833333)))*60), "0' ") &amp; TEXT(((((ABS(14.3833333)-INT(ABS(14.3833333)))*60)- INT((ABS(14.3833333) - INT(ABS(14.3833333)))*60))*60), " 0''")</f>
        <v>14°c c22  60</v>
      </c>
    </row>
    <row r="586" spans="1:10">
      <c r="A586" t="s">
        <v>10</v>
      </c>
      <c r="B586" s="2">
        <v>1200</v>
      </c>
      <c r="C586" t="s">
        <v>24</v>
      </c>
      <c r="D586" t="s">
        <v>1322</v>
      </c>
      <c r="E586" t="s">
        <v>1323</v>
      </c>
      <c r="F586" t="s">
        <v>380</v>
      </c>
      <c r="G586" t="s">
        <v>42</v>
      </c>
      <c r="H586" s="3">
        <v>39834.19027777778</v>
      </c>
      <c r="I586" t="str">
        <f ca="1">TEXT(TRUNC(43.7666667), "0" &amp; CHAR(176) &amp; " ") &amp; TEXT(INT((ABS(43.7666667)- INT(ABS(43.7666667)))*60), "0' ") &amp; TEXT(((((ABS(43.7666667)-INT(ABS(43.7666667)))*60)- INT((ABS(43.7666667) - INT(ABS(43.7666667)))*60))*60), " 0''")</f>
        <v>43°c c46  0</v>
      </c>
      <c r="J586" t="str">
        <f ca="1">TEXT(TRUNC(11.25), "0" &amp; CHAR(176) &amp; " ") &amp; TEXT(INT((ABS(11.25)- INT(ABS(11.25)))*60), "0' ") &amp; TEXT(((((ABS(11.25)-INT(ABS(11.25)))*60)- INT((ABS(11.25) - INT(ABS(11.25)))*60))*60), " 0''")</f>
        <v>11°c c15  0</v>
      </c>
    </row>
    <row r="587" spans="1:10">
      <c r="A587" t="s">
        <v>10</v>
      </c>
      <c r="B587" s="2">
        <v>1200</v>
      </c>
      <c r="C587" t="s">
        <v>24</v>
      </c>
      <c r="D587" t="s">
        <v>1324</v>
      </c>
      <c r="E587" t="s">
        <v>1325</v>
      </c>
      <c r="F587" t="s">
        <v>18</v>
      </c>
      <c r="G587" t="s">
        <v>19</v>
      </c>
      <c r="H587" s="3">
        <v>39834.198611111111</v>
      </c>
      <c r="I587" t="str">
        <f ca="1">TEXT(TRUNC(55.7666667), "0" &amp; CHAR(176) &amp; " ") &amp; TEXT(INT((ABS(55.7666667)- INT(ABS(55.7666667)))*60), "0' ") &amp; TEXT(((((ABS(55.7666667)-INT(ABS(55.7666667)))*60)- INT((ABS(55.7666667) - INT(ABS(55.7666667)))*60))*60), " 0''")</f>
        <v>55°c c46  0</v>
      </c>
      <c r="J587" t="str">
        <f ca="1">TEXT(TRUNC(12.6), "0" &amp; CHAR(176) &amp; " ") &amp; TEXT(INT((ABS(12.6)- INT(ABS(12.6)))*60), "0' ") &amp; TEXT(((((ABS(12.6)-INT(ABS(12.6)))*60)- INT((ABS(12.6) - INT(ABS(12.6)))*60))*60), " 0''")</f>
        <v>12°c c36  0</v>
      </c>
    </row>
    <row r="588" spans="1:10">
      <c r="A588" t="s">
        <v>10</v>
      </c>
      <c r="B588" s="2">
        <v>1200</v>
      </c>
      <c r="C588" t="s">
        <v>33</v>
      </c>
      <c r="D588" t="s">
        <v>1326</v>
      </c>
      <c r="E588" t="s">
        <v>1327</v>
      </c>
      <c r="F588" t="s">
        <v>580</v>
      </c>
      <c r="G588" t="s">
        <v>15</v>
      </c>
      <c r="H588" s="3">
        <v>39834.23541666667</v>
      </c>
      <c r="I588" t="str">
        <f ca="1">TEXT(TRUNC(41.1175), "0" &amp; CHAR(176) &amp; " ") &amp; TEXT(INT((ABS(41.1175)- INT(ABS(41.1175)))*60), "0' ") &amp; TEXT(((((ABS(41.1175)-INT(ABS(41.1175)))*60)- INT((ABS(41.1175) - INT(ABS(41.1175)))*60))*60), " 0''")</f>
        <v>41°c c7  3</v>
      </c>
      <c r="J588" t="str">
        <f ca="1">TEXT(TRUNC(-73.40833), "0" &amp; CHAR(176) &amp; " ") &amp; TEXT(INT((ABS(-73.40833)- INT(ABS(-73.40833)))*60), "0' ") &amp; TEXT(((((ABS(-73.40833)-INT(ABS(-73.40833)))*60)- INT((ABS(-73.40833) - INT(ABS(-73.40833)))*60))*60), " 0''")</f>
        <v>-73°c c24  30</v>
      </c>
    </row>
    <row r="589" spans="1:10">
      <c r="A589" t="s">
        <v>10</v>
      </c>
      <c r="B589" s="2">
        <v>1200</v>
      </c>
      <c r="C589" t="s">
        <v>33</v>
      </c>
      <c r="D589" t="s">
        <v>1328</v>
      </c>
      <c r="E589" t="s">
        <v>1043</v>
      </c>
      <c r="F589" t="s">
        <v>152</v>
      </c>
      <c r="G589" t="s">
        <v>15</v>
      </c>
      <c r="H589" s="3">
        <v>39834.277083333334</v>
      </c>
      <c r="I589" t="str">
        <f ca="1">TEXT(TRUNC(36.84667), "0" &amp; CHAR(176) &amp; " ") &amp; TEXT(INT((ABS(36.84667)- INT(ABS(36.84667)))*60), "0' ") &amp; TEXT(((((ABS(36.84667)-INT(ABS(36.84667)))*60)- INT((ABS(36.84667) - INT(ABS(36.84667)))*60))*60), " 0''")</f>
        <v>36°c c50  48</v>
      </c>
      <c r="J589" t="str">
        <f ca="1">TEXT(TRUNC(-76.28556), "0" &amp; CHAR(176) &amp; " ") &amp; TEXT(INT((ABS(-76.28556)- INT(ABS(-76.28556)))*60), "0' ") &amp; TEXT(((((ABS(-76.28556)-INT(ABS(-76.28556)))*60)- INT((ABS(-76.28556) - INT(ABS(-76.28556)))*60))*60), " 0''")</f>
        <v>-76°c c17  8</v>
      </c>
    </row>
    <row r="590" spans="1:10">
      <c r="A590" t="s">
        <v>10</v>
      </c>
      <c r="B590" s="2">
        <v>1200</v>
      </c>
      <c r="C590" t="s">
        <v>24</v>
      </c>
      <c r="D590" t="s">
        <v>1329</v>
      </c>
      <c r="E590" t="s">
        <v>1330</v>
      </c>
      <c r="F590" t="s">
        <v>931</v>
      </c>
      <c r="G590" t="s">
        <v>15</v>
      </c>
      <c r="H590" s="3">
        <v>39834.288194444445</v>
      </c>
      <c r="I590" t="str">
        <f ca="1">TEXT(TRUNC(43.62278), "0" &amp; CHAR(176) &amp; " ") &amp; TEXT(INT((ABS(43.62278)- INT(ABS(43.62278)))*60), "0' ") &amp; TEXT(((((ABS(43.62278)-INT(ABS(43.62278)))*60)- INT((ABS(43.62278) - INT(ABS(43.62278)))*60))*60), " 0''")</f>
        <v>43°c c37  22</v>
      </c>
      <c r="J590" t="str">
        <f ca="1">TEXT(TRUNC(-87.79444), "0" &amp; CHAR(176) &amp; " ") &amp; TEXT(INT((ABS(-87.79444)- INT(ABS(-87.79444)))*60), "0' ") &amp; TEXT(((((ABS(-87.79444)-INT(ABS(-87.79444)))*60)- INT((ABS(-87.79444) - INT(ABS(-87.79444)))*60))*60), " 0''")</f>
        <v>-87°c c47  40</v>
      </c>
    </row>
    <row r="591" spans="1:10">
      <c r="A591" t="s">
        <v>10</v>
      </c>
      <c r="B591" s="2">
        <v>1200</v>
      </c>
      <c r="C591" t="s">
        <v>24</v>
      </c>
      <c r="D591" t="s">
        <v>581</v>
      </c>
      <c r="E591" t="s">
        <v>1331</v>
      </c>
      <c r="F591" t="s">
        <v>193</v>
      </c>
      <c r="G591" t="s">
        <v>15</v>
      </c>
      <c r="H591" s="3">
        <v>39834.304861111108</v>
      </c>
      <c r="I591" t="str">
        <f ca="1">TEXT(TRUNC(39.87167), "0" &amp; CHAR(176) &amp; " ") &amp; TEXT(INT((ABS(39.87167)- INT(ABS(39.87167)))*60), "0' ") &amp; TEXT(((((ABS(39.87167)-INT(ABS(39.87167)))*60)- INT((ABS(39.87167) - INT(ABS(39.87167)))*60))*60), " 0''")</f>
        <v>39°c c52  18</v>
      </c>
      <c r="J591" t="str">
        <f ca="1">TEXT(TRUNC(-75.59167), "0" &amp; CHAR(176) &amp; " ") &amp; TEXT(INT((ABS(-75.59167)- INT(ABS(-75.59167)))*60), "0' ") &amp; TEXT(((((ABS(-75.59167)-INT(ABS(-75.59167)))*60)- INT((ABS(-75.59167) - INT(ABS(-75.59167)))*60))*60), " 0''")</f>
        <v>-75°c c35  30</v>
      </c>
    </row>
    <row r="592" spans="1:10">
      <c r="A592" t="s">
        <v>10</v>
      </c>
      <c r="B592" s="2">
        <v>1200</v>
      </c>
      <c r="C592" t="s">
        <v>11</v>
      </c>
      <c r="D592" t="s">
        <v>1332</v>
      </c>
      <c r="E592" t="s">
        <v>1254</v>
      </c>
      <c r="F592" t="s">
        <v>1333</v>
      </c>
      <c r="G592" t="s">
        <v>15</v>
      </c>
      <c r="H592" s="3">
        <v>39834.313194444447</v>
      </c>
      <c r="I592" t="str">
        <f ca="1">TEXT(TRUNC(39.74583), "0" &amp; CHAR(176) &amp; " ") &amp; TEXT(INT((ABS(39.74583)- INT(ABS(39.74583)))*60), "0' ") &amp; TEXT(((((ABS(39.74583)-INT(ABS(39.74583)))*60)- INT((ABS(39.74583) - INT(ABS(39.74583)))*60))*60), " 0''")</f>
        <v>39°c c44  45</v>
      </c>
      <c r="J592" t="str">
        <f ca="1">TEXT(TRUNC(-75.54694), "0" &amp; CHAR(176) &amp; " ") &amp; TEXT(INT((ABS(-75.54694)- INT(ABS(-75.54694)))*60), "0' ") &amp; TEXT(((((ABS(-75.54694)-INT(ABS(-75.54694)))*60)- INT((ABS(-75.54694) - INT(ABS(-75.54694)))*60))*60), " 0''")</f>
        <v>-75°c c32  49</v>
      </c>
    </row>
    <row r="593" spans="1:10">
      <c r="A593" t="s">
        <v>10</v>
      </c>
      <c r="B593" s="2">
        <v>1200</v>
      </c>
      <c r="C593" t="s">
        <v>24</v>
      </c>
      <c r="D593" t="s">
        <v>1334</v>
      </c>
      <c r="E593" t="s">
        <v>1335</v>
      </c>
      <c r="F593" t="s">
        <v>193</v>
      </c>
      <c r="G593" t="s">
        <v>15</v>
      </c>
      <c r="H593" s="3">
        <v>39834.332638888889</v>
      </c>
      <c r="I593" t="str">
        <f ca="1">TEXT(TRUNC(39.89694), "0" &amp; CHAR(176) &amp; " ") &amp; TEXT(INT((ABS(39.89694)- INT(ABS(39.89694)))*60), "0' ") &amp; TEXT(((((ABS(39.89694)-INT(ABS(39.89694)))*60)- INT((ABS(39.89694) - INT(ABS(39.89694)))*60))*60), " 0''")</f>
        <v>39°c c53  49</v>
      </c>
      <c r="J593" t="str">
        <f ca="1">TEXT(TRUNC(-76.16389), "0" &amp; CHAR(176) &amp; " ") &amp; TEXT(INT((ABS(-76.16389)- INT(ABS(-76.16389)))*60), "0' ") &amp; TEXT(((((ABS(-76.16389)-INT(ABS(-76.16389)))*60)- INT((ABS(-76.16389) - INT(ABS(-76.16389)))*60))*60), " 0''")</f>
        <v>-76°c c9  50</v>
      </c>
    </row>
    <row r="594" spans="1:10">
      <c r="A594" t="s">
        <v>10</v>
      </c>
      <c r="B594" s="2">
        <v>1200</v>
      </c>
      <c r="C594" t="s">
        <v>24</v>
      </c>
      <c r="D594" t="s">
        <v>39</v>
      </c>
      <c r="E594" t="s">
        <v>797</v>
      </c>
      <c r="F594" t="s">
        <v>152</v>
      </c>
      <c r="G594" t="s">
        <v>15</v>
      </c>
      <c r="H594" s="3">
        <v>39834.379861111112</v>
      </c>
      <c r="I594" t="str">
        <f ca="1">TEXT(TRUNC(38.90111), "0" &amp; CHAR(176) &amp; " ") &amp; TEXT(INT((ABS(38.90111)- INT(ABS(38.90111)))*60), "0' ") &amp; TEXT(((((ABS(38.90111)-INT(ABS(38.90111)))*60)- INT((ABS(38.90111) - INT(ABS(38.90111)))*60))*60), " 0''")</f>
        <v>38°c c54  4</v>
      </c>
      <c r="J594" t="str">
        <f ca="1">TEXT(TRUNC(-77.26556), "0" &amp; CHAR(176) &amp; " ") &amp; TEXT(INT((ABS(-77.26556)- INT(ABS(-77.26556)))*60), "0' ") &amp; TEXT(((((ABS(-77.26556)-INT(ABS(-77.26556)))*60)- INT((ABS(-77.26556) - INT(ABS(-77.26556)))*60))*60), " 0''")</f>
        <v>-77°c c15  56</v>
      </c>
    </row>
    <row r="595" spans="1:10">
      <c r="A595" t="s">
        <v>10</v>
      </c>
      <c r="B595" s="2">
        <v>1200</v>
      </c>
      <c r="C595" t="s">
        <v>11</v>
      </c>
      <c r="D595" t="s">
        <v>88</v>
      </c>
      <c r="E595" t="s">
        <v>1336</v>
      </c>
      <c r="F595" t="s">
        <v>190</v>
      </c>
      <c r="G595" t="s">
        <v>15</v>
      </c>
      <c r="H595" s="3">
        <v>39834.438888888886</v>
      </c>
      <c r="I595" t="str">
        <f ca="1">TEXT(TRUNC(42.59972), "0" &amp; CHAR(176) &amp; " ") &amp; TEXT(INT((ABS(42.59972)- INT(ABS(42.59972)))*60), "0' ") &amp; TEXT(((((ABS(42.59972)-INT(ABS(42.59972)))*60)- INT((ABS(42.59972) - INT(ABS(42.59972)))*60))*60), " 0''")</f>
        <v>42°c c35  59</v>
      </c>
      <c r="J595" t="str">
        <f ca="1">TEXT(TRUNC(-71.36778), "0" &amp; CHAR(176) &amp; " ") &amp; TEXT(INT((ABS(-71.36778)- INT(ABS(-71.36778)))*60), "0' ") &amp; TEXT(((((ABS(-71.36778)-INT(ABS(-71.36778)))*60)- INT((ABS(-71.36778) - INT(ABS(-71.36778)))*60))*60), " 0''")</f>
        <v>-71°c c22  4</v>
      </c>
    </row>
    <row r="596" spans="1:10">
      <c r="A596" t="s">
        <v>10</v>
      </c>
      <c r="B596" s="2">
        <v>1200</v>
      </c>
      <c r="C596" t="s">
        <v>24</v>
      </c>
      <c r="D596" t="s">
        <v>1337</v>
      </c>
      <c r="E596" t="s">
        <v>1338</v>
      </c>
      <c r="F596" t="s">
        <v>513</v>
      </c>
      <c r="G596" t="s">
        <v>65</v>
      </c>
      <c r="H596" s="3">
        <v>39834.458333333336</v>
      </c>
      <c r="I596" t="str">
        <f ca="1">TEXT(TRUNC(53.2802778), "0" &amp; CHAR(176) &amp; " ") &amp; TEXT(INT((ABS(53.2802778)- INT(ABS(53.2802778)))*60), "0' ") &amp; TEXT(((((ABS(53.2802778)-INT(ABS(53.2802778)))*60)- INT((ABS(53.2802778) - INT(ABS(53.2802778)))*60))*60), " 0''")</f>
        <v>53°c c16  49</v>
      </c>
      <c r="J596" t="str">
        <f ca="1">TEXT(TRUNC(-6.4444444), "0" &amp; CHAR(176) &amp; " ") &amp; TEXT(INT((ABS(-6.4444444)- INT(ABS(-6.4444444)))*60), "0' ") &amp; TEXT(((((ABS(-6.4444444)-INT(ABS(-6.4444444)))*60)- INT((ABS(-6.4444444) - INT(ABS(-6.4444444)))*60))*60), " 0''")</f>
        <v>-6°c c26  40</v>
      </c>
    </row>
    <row r="597" spans="1:10">
      <c r="A597" t="s">
        <v>10</v>
      </c>
      <c r="B597" s="2">
        <v>800</v>
      </c>
      <c r="C597" t="s">
        <v>33</v>
      </c>
      <c r="D597" t="s">
        <v>1339</v>
      </c>
      <c r="E597" t="s">
        <v>413</v>
      </c>
      <c r="F597" t="s">
        <v>152</v>
      </c>
      <c r="G597" t="s">
        <v>15</v>
      </c>
      <c r="H597" s="3">
        <v>39834.477777777778</v>
      </c>
      <c r="I597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597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598" spans="1:10">
      <c r="A598" t="s">
        <v>10</v>
      </c>
      <c r="B598" s="2">
        <v>1200</v>
      </c>
      <c r="C598" t="s">
        <v>24</v>
      </c>
      <c r="D598" t="s">
        <v>1340</v>
      </c>
      <c r="E598" t="s">
        <v>562</v>
      </c>
      <c r="F598" t="s">
        <v>562</v>
      </c>
      <c r="G598" t="s">
        <v>85</v>
      </c>
      <c r="H598" s="3">
        <v>39834.48333333333</v>
      </c>
      <c r="I598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598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599" spans="1:10">
      <c r="A599" t="s">
        <v>10</v>
      </c>
      <c r="B599" s="2">
        <v>1200</v>
      </c>
      <c r="C599" t="s">
        <v>24</v>
      </c>
      <c r="D599" t="s">
        <v>427</v>
      </c>
      <c r="E599" t="s">
        <v>1341</v>
      </c>
      <c r="F599" t="s">
        <v>394</v>
      </c>
      <c r="G599" t="s">
        <v>75</v>
      </c>
      <c r="H599" s="3">
        <v>39834.49722222222</v>
      </c>
      <c r="I599" t="str">
        <f ca="1">TEXT(TRUNC(47.3333333), "0" &amp; CHAR(176) &amp; " ") &amp; TEXT(INT((ABS(47.3333333)- INT(ABS(47.3333333)))*60), "0' ") &amp; TEXT(((((ABS(47.3333333)-INT(ABS(47.3333333)))*60)- INT((ABS(47.3333333) - INT(ABS(47.3333333)))*60))*60), " 0''")</f>
        <v>47°c c19  60</v>
      </c>
      <c r="J599" t="str">
        <f ca="1">TEXT(TRUNC(8.6166667), "0" &amp; CHAR(176) &amp; " ") &amp; TEXT(INT((ABS(8.6166667)- INT(ABS(8.6166667)))*60), "0' ") &amp; TEXT(((((ABS(8.6166667)-INT(ABS(8.6166667)))*60)- INT((ABS(8.6166667) - INT(ABS(8.6166667)))*60))*60), " 0''")</f>
        <v>8°c c37  0</v>
      </c>
    </row>
    <row r="600" spans="1:10">
      <c r="A600" t="s">
        <v>10</v>
      </c>
      <c r="B600" s="2">
        <v>1200</v>
      </c>
      <c r="C600" t="s">
        <v>24</v>
      </c>
      <c r="D600" t="s">
        <v>1344</v>
      </c>
      <c r="E600" t="s">
        <v>105</v>
      </c>
      <c r="F600" t="s">
        <v>105</v>
      </c>
      <c r="G600" t="s">
        <v>106</v>
      </c>
      <c r="H600" s="3">
        <v>39834.526388888888</v>
      </c>
      <c r="I600" t="str">
        <f ca="1">TEXT(TRUNC(41.0186111), "0" &amp; CHAR(176) &amp; " ") &amp; TEXT(INT((ABS(41.0186111)- INT(ABS(41.0186111)))*60), "0' ") &amp; TEXT(((((ABS(41.0186111)-INT(ABS(41.0186111)))*60)- INT((ABS(41.0186111) - INT(ABS(41.0186111)))*60))*60), " 0''")</f>
        <v>41°c c1  7</v>
      </c>
      <c r="J600" t="str">
        <f ca="1">TEXT(TRUNC(28.9647222), "0" &amp; CHAR(176) &amp; " ") &amp; TEXT(INT((ABS(28.9647222)- INT(ABS(28.9647222)))*60), "0' ") &amp; TEXT(((((ABS(28.9647222)-INT(ABS(28.9647222)))*60)- INT((ABS(28.9647222) - INT(ABS(28.9647222)))*60))*60), " 0''")</f>
        <v>28°c c57  53</v>
      </c>
    </row>
    <row r="601" spans="1:10">
      <c r="A601" t="s">
        <v>10</v>
      </c>
      <c r="B601" s="2">
        <v>1200</v>
      </c>
      <c r="C601" t="s">
        <v>24</v>
      </c>
      <c r="D601" t="s">
        <v>1345</v>
      </c>
      <c r="E601" t="s">
        <v>1346</v>
      </c>
      <c r="F601" t="s">
        <v>14</v>
      </c>
      <c r="G601" t="s">
        <v>15</v>
      </c>
      <c r="H601" s="3">
        <v>39834.5875</v>
      </c>
      <c r="I601" t="str">
        <f ca="1">TEXT(TRUNC(40.68361), "0" &amp; CHAR(176) &amp; " ") &amp; TEXT(INT((ABS(40.68361)- INT(ABS(40.68361)))*60), "0' ") &amp; TEXT(((((ABS(40.68361)-INT(ABS(40.68361)))*60)- INT((ABS(40.68361) - INT(ABS(40.68361)))*60))*60), " 0''")</f>
        <v>40°c c41  1</v>
      </c>
      <c r="J601" t="str">
        <f ca="1">TEXT(TRUNC(-73.51056), "0" &amp; CHAR(176) &amp; " ") &amp; TEXT(INT((ABS(-73.51056)- INT(ABS(-73.51056)))*60), "0' ") &amp; TEXT(((((ABS(-73.51056)-INT(ABS(-73.51056)))*60)- INT((ABS(-73.51056) - INT(ABS(-73.51056)))*60))*60), " 0''")</f>
        <v>-73°c c30  38</v>
      </c>
    </row>
    <row r="602" spans="1:10">
      <c r="A602" t="s">
        <v>10</v>
      </c>
      <c r="B602" s="2">
        <v>1200</v>
      </c>
      <c r="C602" t="s">
        <v>33</v>
      </c>
      <c r="D602" t="s">
        <v>903</v>
      </c>
      <c r="E602" t="s">
        <v>1347</v>
      </c>
      <c r="F602" t="s">
        <v>244</v>
      </c>
      <c r="G602" t="s">
        <v>15</v>
      </c>
      <c r="H602" s="3">
        <v>39834.59375</v>
      </c>
      <c r="I602" t="str">
        <f ca="1">TEXT(TRUNC(39.2475), "0" &amp; CHAR(176) &amp; " ") &amp; TEXT(INT((ABS(39.2475)- INT(ABS(39.2475)))*60), "0' ") &amp; TEXT(((((ABS(39.2475)-INT(ABS(39.2475)))*60)- INT((ABS(39.2475) - INT(ABS(39.2475)))*60))*60), " 0''")</f>
        <v>39°c c14  51</v>
      </c>
      <c r="J602" t="str">
        <f ca="1">TEXT(TRUNC(-114.88778), "0" &amp; CHAR(176) &amp; " ") &amp; TEXT(INT((ABS(-114.88778)- INT(ABS(-114.88778)))*60), "0' ") &amp; TEXT(((((ABS(-114.88778)-INT(ABS(-114.88778)))*60)- INT((ABS(-114.88778) - INT(ABS(-114.88778)))*60))*60), " 0''")</f>
        <v>-114°c c53  16</v>
      </c>
    </row>
    <row r="603" spans="1:10">
      <c r="A603" t="s">
        <v>10</v>
      </c>
      <c r="B603" s="2">
        <v>1200</v>
      </c>
      <c r="C603" t="s">
        <v>24</v>
      </c>
      <c r="D603" t="s">
        <v>1348</v>
      </c>
      <c r="E603" t="s">
        <v>1349</v>
      </c>
      <c r="F603" t="s">
        <v>30</v>
      </c>
      <c r="G603" t="s">
        <v>31</v>
      </c>
      <c r="H603" s="3">
        <v>39834.600694444445</v>
      </c>
      <c r="I603" t="str">
        <f ca="1">TEXT(TRUNC(52.55), "0" &amp; CHAR(176) &amp; " ") &amp; TEXT(INT((ABS(52.55)- INT(ABS(52.55)))*60), "0' ") &amp; TEXT(((((ABS(52.55)-INT(ABS(52.55)))*60)- INT((ABS(52.55) - INT(ABS(52.55)))*60))*60), " 0''")</f>
        <v>52°c c32  60</v>
      </c>
      <c r="J603" t="str">
        <f ca="1">TEXT(TRUNC(4.6666667), "0" &amp; CHAR(176) &amp; " ") &amp; TEXT(INT((ABS(4.6666667)- INT(ABS(4.6666667)))*60), "0' ") &amp; TEXT(((((ABS(4.6666667)-INT(ABS(4.6666667)))*60)- INT((ABS(4.6666667) - INT(ABS(4.6666667)))*60))*60), " 0''")</f>
        <v>4°c c40  0</v>
      </c>
    </row>
    <row r="604" spans="1:10">
      <c r="A604" t="s">
        <v>10</v>
      </c>
      <c r="B604" s="2">
        <v>1200</v>
      </c>
      <c r="C604" t="s">
        <v>11</v>
      </c>
      <c r="D604" t="s">
        <v>1350</v>
      </c>
      <c r="E604" t="s">
        <v>1351</v>
      </c>
      <c r="F604" t="s">
        <v>473</v>
      </c>
      <c r="G604" t="s">
        <v>437</v>
      </c>
      <c r="H604" s="3">
        <v>39834.606944444444</v>
      </c>
      <c r="I604" t="str">
        <f ca="1">TEXT(TRUNC(48.3), "0" &amp; CHAR(176) &amp; " ") &amp; TEXT(INT((ABS(48.3)- INT(ABS(48.3)))*60), "0' ") &amp; TEXT(((((ABS(48.3)-INT(ABS(48.3)))*60)- INT((ABS(48.3) - INT(ABS(48.3)))*60))*60), " 0''")</f>
        <v>48°c c17  60</v>
      </c>
      <c r="J604" t="str">
        <f ca="1">TEXT(TRUNC(16.3166667), "0" &amp; CHAR(176) &amp; " ") &amp; TEXT(INT((ABS(16.3166667)- INT(ABS(16.3166667)))*60), "0' ") &amp; TEXT(((((ABS(16.3166667)-INT(ABS(16.3166667)))*60)- INT((ABS(16.3166667) - INT(ABS(16.3166667)))*60))*60), " 0''")</f>
        <v>16°c c19  0</v>
      </c>
    </row>
    <row r="605" spans="1:10">
      <c r="A605" t="s">
        <v>10</v>
      </c>
      <c r="B605" s="2">
        <v>1200</v>
      </c>
      <c r="C605" t="s">
        <v>50</v>
      </c>
      <c r="D605" t="s">
        <v>556</v>
      </c>
      <c r="E605" t="s">
        <v>362</v>
      </c>
      <c r="F605" t="s">
        <v>14</v>
      </c>
      <c r="G605" t="s">
        <v>15</v>
      </c>
      <c r="H605" s="3">
        <v>39834.621527777781</v>
      </c>
      <c r="I605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605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606" spans="1:10">
      <c r="A606" t="s">
        <v>10</v>
      </c>
      <c r="B606" s="2">
        <v>1200</v>
      </c>
      <c r="C606" t="s">
        <v>11</v>
      </c>
      <c r="D606" t="s">
        <v>1352</v>
      </c>
      <c r="E606" t="s">
        <v>285</v>
      </c>
      <c r="F606" t="s">
        <v>27</v>
      </c>
      <c r="G606" t="s">
        <v>15</v>
      </c>
      <c r="H606" s="3">
        <v>39834.70625</v>
      </c>
      <c r="I606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606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607" spans="1:10">
      <c r="A607" t="s">
        <v>10</v>
      </c>
      <c r="B607" s="2">
        <v>1200</v>
      </c>
      <c r="C607" t="s">
        <v>11</v>
      </c>
      <c r="D607" t="s">
        <v>1353</v>
      </c>
      <c r="E607" t="s">
        <v>1354</v>
      </c>
      <c r="F607" t="s">
        <v>71</v>
      </c>
      <c r="G607" t="s">
        <v>1355</v>
      </c>
      <c r="H607" s="3">
        <v>39834.834722222222</v>
      </c>
      <c r="I607" t="str">
        <f ca="1">TEXT(TRUNC(19.3), "0" &amp; CHAR(176) &amp; " ") &amp; TEXT(INT((ABS(19.3)- INT(ABS(19.3)))*60), "0' ") &amp; TEXT(((((ABS(19.3)-INT(ABS(19.3)))*60)- INT((ABS(19.3) - INT(ABS(19.3)))*60))*60), " 0''")</f>
        <v>19°c c18  0</v>
      </c>
      <c r="J607" t="str">
        <f ca="1">TEXT(TRUNC(-81.3833333), "0" &amp; CHAR(176) &amp; " ") &amp; TEXT(INT((ABS(-81.3833333)- INT(ABS(-81.3833333)))*60), "0' ") &amp; TEXT(((((ABS(-81.3833333)-INT(ABS(-81.3833333)))*60)- INT((ABS(-81.3833333) - INT(ABS(-81.3833333)))*60))*60), " 0''")</f>
        <v>-81°c c22  60</v>
      </c>
    </row>
    <row r="608" spans="1:10">
      <c r="A608" t="s">
        <v>10</v>
      </c>
      <c r="B608" s="2">
        <v>1200</v>
      </c>
      <c r="C608" t="s">
        <v>33</v>
      </c>
      <c r="D608" t="s">
        <v>1356</v>
      </c>
      <c r="E608" t="s">
        <v>251</v>
      </c>
      <c r="F608" t="s">
        <v>252</v>
      </c>
      <c r="G608" t="s">
        <v>81</v>
      </c>
      <c r="H608" s="3">
        <v>39834.845833333333</v>
      </c>
      <c r="I608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608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609" spans="1:10">
      <c r="A609" t="s">
        <v>10</v>
      </c>
      <c r="B609" s="2">
        <v>1200</v>
      </c>
      <c r="C609" t="s">
        <v>11</v>
      </c>
      <c r="D609" t="s">
        <v>1357</v>
      </c>
      <c r="E609" t="s">
        <v>1358</v>
      </c>
      <c r="F609" t="s">
        <v>14</v>
      </c>
      <c r="G609" t="s">
        <v>15</v>
      </c>
      <c r="H609" s="3">
        <v>39834.863888888889</v>
      </c>
      <c r="I609" t="str">
        <f ca="1">TEXT(TRUNC(40.68667), "0" &amp; CHAR(176) &amp; " ") &amp; TEXT(INT((ABS(40.68667)- INT(ABS(40.68667)))*60), "0' ") &amp; TEXT(((((ABS(40.68667)-INT(ABS(40.68667)))*60)- INT((ABS(40.68667) - INT(ABS(40.68667)))*60))*60), " 0''")</f>
        <v>40°c c41  12</v>
      </c>
      <c r="J609" t="str">
        <f ca="1">TEXT(TRUNC(-73.37389), "0" &amp; CHAR(176) &amp; " ") &amp; TEXT(INT((ABS(-73.37389)- INT(ABS(-73.37389)))*60), "0' ") &amp; TEXT(((((ABS(-73.37389)-INT(ABS(-73.37389)))*60)- INT((ABS(-73.37389) - INT(ABS(-73.37389)))*60))*60), " 0''")</f>
        <v>-73°c c22  26</v>
      </c>
    </row>
    <row r="610" spans="1:10">
      <c r="A610" t="s">
        <v>10</v>
      </c>
      <c r="B610" s="2">
        <v>1200</v>
      </c>
      <c r="C610" t="s">
        <v>24</v>
      </c>
      <c r="D610" t="s">
        <v>782</v>
      </c>
      <c r="E610" t="s">
        <v>1359</v>
      </c>
      <c r="F610" t="s">
        <v>1360</v>
      </c>
      <c r="G610" t="s">
        <v>1361</v>
      </c>
      <c r="H610" s="3">
        <v>39834.900694444441</v>
      </c>
      <c r="I610" t="str">
        <f ca="1">TEXT(TRUNC(22.25), "0" &amp; CHAR(176) &amp; " ") &amp; TEXT(INT((ABS(22.25)- INT(ABS(22.25)))*60), "0' ") &amp; TEXT(((((ABS(22.25)-INT(ABS(22.25)))*60)- INT((ABS(22.25) - INT(ABS(22.25)))*60))*60), " 0''")</f>
        <v>22°c c15  0</v>
      </c>
      <c r="J610" t="str">
        <f ca="1">TEXT(TRUNC(112.7833333), "0" &amp; CHAR(176) &amp; " ") &amp; TEXT(INT((ABS(112.7833333)- INT(ABS(112.7833333)))*60), "0' ") &amp; TEXT(((((ABS(112.7833333)-INT(ABS(112.7833333)))*60)- INT((ABS(112.7833333) - INT(ABS(112.7833333)))*60))*60), " 0''")</f>
        <v>112°c c46  60</v>
      </c>
    </row>
    <row r="611" spans="1:10">
      <c r="A611" t="s">
        <v>10</v>
      </c>
      <c r="B611" s="2">
        <v>1200</v>
      </c>
      <c r="C611" t="s">
        <v>33</v>
      </c>
      <c r="D611" t="s">
        <v>1362</v>
      </c>
      <c r="E611" t="s">
        <v>1363</v>
      </c>
      <c r="F611" t="s">
        <v>391</v>
      </c>
      <c r="G611" t="s">
        <v>15</v>
      </c>
      <c r="H611" s="3">
        <v>39834.97152777778</v>
      </c>
      <c r="I611" t="str">
        <f ca="1">TEXT(TRUNC(21.30694), "0" &amp; CHAR(176) &amp; " ") &amp; TEXT(INT((ABS(21.30694)- INT(ABS(21.30694)))*60), "0' ") &amp; TEXT(((((ABS(21.30694)-INT(ABS(21.30694)))*60)- INT((ABS(21.30694) - INT(ABS(21.30694)))*60))*60), " 0''")</f>
        <v>21°c c18  25</v>
      </c>
      <c r="J611" t="str">
        <f ca="1">TEXT(TRUNC(-157.85833), "0" &amp; CHAR(176) &amp; " ") &amp; TEXT(INT((ABS(-157.85833)- INT(ABS(-157.85833)))*60), "0' ") &amp; TEXT(((((ABS(-157.85833)-INT(ABS(-157.85833)))*60)- INT((ABS(-157.85833) - INT(ABS(-157.85833)))*60))*60), " 0''")</f>
        <v>-157°c c51  30</v>
      </c>
    </row>
    <row r="612" spans="1:10">
      <c r="A612" t="s">
        <v>10</v>
      </c>
      <c r="B612" s="2">
        <v>1200</v>
      </c>
      <c r="C612" t="s">
        <v>24</v>
      </c>
      <c r="D612" t="s">
        <v>1364</v>
      </c>
      <c r="E612" t="s">
        <v>1365</v>
      </c>
      <c r="F612" t="s">
        <v>1366</v>
      </c>
      <c r="G612" t="s">
        <v>174</v>
      </c>
      <c r="H612" s="3">
        <v>39834.986805555556</v>
      </c>
      <c r="I612" t="str">
        <f ca="1">TEXT(TRUNC(48.5833333), "0" &amp; CHAR(176) &amp; " ") &amp; TEXT(INT((ABS(48.5833333)- INT(ABS(48.5833333)))*60), "0' ") &amp; TEXT(((((ABS(48.5833333)-INT(ABS(48.5833333)))*60)- INT((ABS(48.5833333) - INT(ABS(48.5833333)))*60))*60), " 0''")</f>
        <v>48°c c34  60</v>
      </c>
      <c r="J612" t="str">
        <f ca="1">TEXT(TRUNC(7.75), "0" &amp; CHAR(176) &amp; " ") &amp; TEXT(INT((ABS(7.75)- INT(ABS(7.75)))*60), "0' ") &amp; TEXT(((((ABS(7.75)-INT(ABS(7.75)))*60)- INT((ABS(7.75) - INT(ABS(7.75)))*60))*60), " 0''")</f>
        <v>7°c c45  0</v>
      </c>
    </row>
    <row r="613" spans="1:10">
      <c r="A613" t="s">
        <v>10</v>
      </c>
      <c r="B613" s="2">
        <v>1200</v>
      </c>
      <c r="C613" t="s">
        <v>24</v>
      </c>
      <c r="D613" t="s">
        <v>585</v>
      </c>
      <c r="E613" t="s">
        <v>1367</v>
      </c>
      <c r="F613" t="s">
        <v>388</v>
      </c>
      <c r="G613" t="s">
        <v>75</v>
      </c>
      <c r="H613" s="3">
        <v>39834.994444444441</v>
      </c>
      <c r="I613" t="str">
        <f ca="1">TEXT(TRUNC(46.1666667), "0" &amp; CHAR(176) &amp; " ") &amp; TEXT(INT((ABS(46.1666667)- INT(ABS(46.1666667)))*60), "0' ") &amp; TEXT(((((ABS(46.1666667)-INT(ABS(46.1666667)))*60)- INT((ABS(46.1666667) - INT(ABS(46.1666667)))*60))*60), " 0''")</f>
        <v>46°c c10  0</v>
      </c>
      <c r="J613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614" spans="1:10">
      <c r="A614" t="s">
        <v>10</v>
      </c>
      <c r="B614" s="2">
        <v>1200</v>
      </c>
      <c r="C614" t="s">
        <v>24</v>
      </c>
      <c r="D614" t="s">
        <v>1337</v>
      </c>
      <c r="E614" t="s">
        <v>1368</v>
      </c>
      <c r="F614" t="s">
        <v>105</v>
      </c>
      <c r="G614" t="s">
        <v>106</v>
      </c>
      <c r="H614" s="3">
        <v>39835.094444444447</v>
      </c>
      <c r="I614" t="str">
        <f ca="1">TEXT(TRUNC(41.1438889), "0" &amp; CHAR(176) &amp; " ") &amp; TEXT(INT((ABS(41.1438889)- INT(ABS(41.1438889)))*60), "0' ") &amp; TEXT(((((ABS(41.1438889)-INT(ABS(41.1438889)))*60)- INT((ABS(41.1438889) - INT(ABS(41.1438889)))*60))*60), " 0''")</f>
        <v>41°c c8  38</v>
      </c>
      <c r="J614" t="str">
        <f ca="1">TEXT(TRUNC(29.0905556), "0" &amp; CHAR(176) &amp; " ") &amp; TEXT(INT((ABS(29.0905556)- INT(ABS(29.0905556)))*60), "0' ") &amp; TEXT(((((ABS(29.0905556)-INT(ABS(29.0905556)))*60)- INT((ABS(29.0905556) - INT(ABS(29.0905556)))*60))*60), " 0''")</f>
        <v>29°c c5  26</v>
      </c>
    </row>
    <row r="615" spans="1:10">
      <c r="A615" t="s">
        <v>10</v>
      </c>
      <c r="B615" s="2">
        <v>1200</v>
      </c>
      <c r="C615" t="s">
        <v>24</v>
      </c>
      <c r="D615" t="s">
        <v>1281</v>
      </c>
      <c r="E615" t="s">
        <v>1373</v>
      </c>
      <c r="F615" t="s">
        <v>27</v>
      </c>
      <c r="G615" t="s">
        <v>15</v>
      </c>
      <c r="H615" s="3">
        <v>39835.27847222222</v>
      </c>
      <c r="I615" t="str">
        <f ca="1">TEXT(TRUNC(29.73528), "0" &amp; CHAR(176) &amp; " ") &amp; TEXT(INT((ABS(29.73528)- INT(ABS(29.73528)))*60), "0' ") &amp; TEXT(((((ABS(29.73528)-INT(ABS(29.73528)))*60)- INT((ABS(29.73528) - INT(ABS(29.73528)))*60))*60), " 0''")</f>
        <v>29°c c44  7</v>
      </c>
      <c r="J615" t="str">
        <f ca="1">TEXT(TRUNC(-94.97722), "0" &amp; CHAR(176) &amp; " ") &amp; TEXT(INT((ABS(-94.97722)- INT(ABS(-94.97722)))*60), "0' ") &amp; TEXT(((((ABS(-94.97722)-INT(ABS(-94.97722)))*60)- INT((ABS(-94.97722) - INT(ABS(-94.97722)))*60))*60), " 0''")</f>
        <v>-94°c c58  38</v>
      </c>
    </row>
    <row r="616" spans="1:10">
      <c r="A616" t="s">
        <v>10</v>
      </c>
      <c r="B616" s="2">
        <v>1200</v>
      </c>
      <c r="C616" t="s">
        <v>24</v>
      </c>
      <c r="D616" t="s">
        <v>999</v>
      </c>
      <c r="E616" t="s">
        <v>711</v>
      </c>
      <c r="F616" t="s">
        <v>400</v>
      </c>
      <c r="G616" t="s">
        <v>15</v>
      </c>
      <c r="H616" s="3">
        <v>39835.285416666666</v>
      </c>
      <c r="I616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616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617" spans="1:10">
      <c r="A617" t="s">
        <v>10</v>
      </c>
      <c r="B617" s="2">
        <v>1200</v>
      </c>
      <c r="C617" t="s">
        <v>24</v>
      </c>
      <c r="D617" t="s">
        <v>1374</v>
      </c>
      <c r="E617" t="s">
        <v>1041</v>
      </c>
      <c r="F617" t="s">
        <v>95</v>
      </c>
      <c r="G617" t="s">
        <v>81</v>
      </c>
      <c r="H617" s="3">
        <v>39835.301388888889</v>
      </c>
      <c r="I617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617" t="str">
        <f ca="1">TEXT(TRUNC(-79.45), "0" &amp; CHAR(176) &amp; " ") &amp; TEXT(INT((ABS(-79.45)- INT(ABS(-79.45)))*60), "0' ") &amp; TEXT(((((ABS(-79.45)-INT(ABS(-79.45)))*60)- INT((ABS(-79.45) - INT(ABS(-79.45)))*60))*60), " 0''")</f>
        <v>-79°c c27  0</v>
      </c>
    </row>
    <row r="618" spans="1:10">
      <c r="A618" t="s">
        <v>10</v>
      </c>
      <c r="B618" s="2">
        <v>1200</v>
      </c>
      <c r="C618" t="s">
        <v>24</v>
      </c>
      <c r="D618" t="s">
        <v>219</v>
      </c>
      <c r="E618" t="s">
        <v>703</v>
      </c>
      <c r="F618" t="s">
        <v>383</v>
      </c>
      <c r="G618" t="s">
        <v>174</v>
      </c>
      <c r="H618" s="3">
        <v>39835.315972222219</v>
      </c>
      <c r="I618" t="str">
        <f ca="1">TEXT(TRUNC(46.25), "0" &amp; CHAR(176) &amp; " ") &amp; TEXT(INT((ABS(46.25)- INT(ABS(46.25)))*60), "0' ") &amp; TEXT(((((ABS(46.25)-INT(ABS(46.25)))*60)- INT((ABS(46.25) - INT(ABS(46.25)))*60))*60), " 0''")</f>
        <v>46°c c15  0</v>
      </c>
      <c r="J618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619" spans="1:10">
      <c r="A619" t="s">
        <v>10</v>
      </c>
      <c r="B619" s="2">
        <v>1200</v>
      </c>
      <c r="C619" t="s">
        <v>24</v>
      </c>
      <c r="D619" t="s">
        <v>1375</v>
      </c>
      <c r="E619" t="s">
        <v>1376</v>
      </c>
      <c r="F619" t="s">
        <v>68</v>
      </c>
      <c r="G619" t="s">
        <v>15</v>
      </c>
      <c r="H619" s="3">
        <v>39835.349305555559</v>
      </c>
      <c r="I619" t="str">
        <f ca="1">TEXT(TRUNC(47.65889), "0" &amp; CHAR(176) &amp; " ") &amp; TEXT(INT((ABS(47.65889)- INT(ABS(47.65889)))*60), "0' ") &amp; TEXT(((((ABS(47.65889)-INT(ABS(47.65889)))*60)- INT((ABS(47.65889) - INT(ABS(47.65889)))*60))*60), " 0''")</f>
        <v>47°c c39  32</v>
      </c>
      <c r="J619" t="str">
        <f ca="1">TEXT(TRUNC(-117.425), "0" &amp; CHAR(176) &amp; " ") &amp; TEXT(INT((ABS(-117.425)- INT(ABS(-117.425)))*60), "0' ") &amp; TEXT(((((ABS(-117.425)-INT(ABS(-117.425)))*60)- INT((ABS(-117.425) - INT(ABS(-117.425)))*60))*60), " 0''")</f>
        <v>-117°c c25  30</v>
      </c>
    </row>
    <row r="620" spans="1:10">
      <c r="A620" t="s">
        <v>10</v>
      </c>
      <c r="B620" s="2">
        <v>1200</v>
      </c>
      <c r="C620" t="s">
        <v>24</v>
      </c>
      <c r="D620" t="s">
        <v>386</v>
      </c>
      <c r="E620" t="s">
        <v>1377</v>
      </c>
      <c r="F620" t="s">
        <v>14</v>
      </c>
      <c r="G620" t="s">
        <v>15</v>
      </c>
      <c r="H620" s="3">
        <v>39835.375</v>
      </c>
      <c r="I620" t="str">
        <f ca="1">TEXT(TRUNC(42.54222), "0" &amp; CHAR(176) &amp; " ") &amp; TEXT(INT((ABS(42.54222)- INT(ABS(42.54222)))*60), "0' ") &amp; TEXT(((((ABS(42.54222)-INT(ABS(42.54222)))*60)- INT((ABS(42.54222) - INT(ABS(42.54222)))*60))*60), " 0''")</f>
        <v>42°c c32  32</v>
      </c>
      <c r="J620" t="str">
        <f ca="1">TEXT(TRUNC(-76.66639), "0" &amp; CHAR(176) &amp; " ") &amp; TEXT(INT((ABS(-76.66639)- INT(ABS(-76.66639)))*60), "0' ") &amp; TEXT(((((ABS(-76.66639)-INT(ABS(-76.66639)))*60)- INT((ABS(-76.66639) - INT(ABS(-76.66639)))*60))*60), " 0''")</f>
        <v>-76°c c39  59</v>
      </c>
    </row>
    <row r="621" spans="1:10">
      <c r="A621" t="s">
        <v>10</v>
      </c>
      <c r="B621" s="2">
        <v>1200</v>
      </c>
      <c r="C621" t="s">
        <v>24</v>
      </c>
      <c r="D621" t="s">
        <v>1380</v>
      </c>
      <c r="E621" t="s">
        <v>1381</v>
      </c>
      <c r="F621" t="s">
        <v>116</v>
      </c>
      <c r="G621" t="s">
        <v>65</v>
      </c>
      <c r="H621" s="3">
        <v>39835.449305555558</v>
      </c>
      <c r="I621" t="str">
        <f ca="1">TEXT(TRUNC(52.7930556), "0" &amp; CHAR(176) &amp; " ") &amp; TEXT(INT((ABS(52.7930556)- INT(ABS(52.7930556)))*60), "0' ") &amp; TEXT(((((ABS(52.7930556)-INT(ABS(52.7930556)))*60)- INT((ABS(52.7930556) - INT(ABS(52.7930556)))*60))*60), " 0''")</f>
        <v>52°c c47  35</v>
      </c>
      <c r="J621" t="str">
        <f ca="1">TEXT(TRUNC(-6.1413889), "0" &amp; CHAR(176) &amp; " ") &amp; TEXT(INT((ABS(-6.1413889)- INT(ABS(-6.1413889)))*60), "0' ") &amp; TEXT(((((ABS(-6.1413889)-INT(ABS(-6.1413889)))*60)- INT((ABS(-6.1413889) - INT(ABS(-6.1413889)))*60))*60), " 0''")</f>
        <v>-6°c c8  29</v>
      </c>
    </row>
    <row r="622" spans="1:10">
      <c r="A622" t="s">
        <v>10</v>
      </c>
      <c r="B622" s="2">
        <v>1200</v>
      </c>
      <c r="C622" t="s">
        <v>24</v>
      </c>
      <c r="D622" t="s">
        <v>1382</v>
      </c>
      <c r="E622" t="s">
        <v>1383</v>
      </c>
      <c r="F622" t="s">
        <v>931</v>
      </c>
      <c r="G622" t="s">
        <v>15</v>
      </c>
      <c r="H622" s="3">
        <v>39835.457638888889</v>
      </c>
      <c r="I622" t="str">
        <f ca="1">TEXT(TRUNC(45.04361), "0" &amp; CHAR(176) &amp; " ") &amp; TEXT(INT((ABS(45.04361)- INT(ABS(45.04361)))*60), "0' ") &amp; TEXT(((((ABS(45.04361)-INT(ABS(45.04361)))*60)- INT((ABS(45.04361) - INT(ABS(45.04361)))*60))*60), " 0''")</f>
        <v>45°c c2  37</v>
      </c>
      <c r="J622" t="str">
        <f ca="1">TEXT(TRUNC(-92.04083), "0" &amp; CHAR(176) &amp; " ") &amp; TEXT(INT((ABS(-92.04083)- INT(ABS(-92.04083)))*60), "0' ") &amp; TEXT(((((ABS(-92.04083)-INT(ABS(-92.04083)))*60)- INT((ABS(-92.04083) - INT(ABS(-92.04083)))*60))*60), " 0''")</f>
        <v>-92°c c2  27</v>
      </c>
    </row>
    <row r="623" spans="1:10">
      <c r="A623" t="s">
        <v>10</v>
      </c>
      <c r="B623" s="2">
        <v>1200</v>
      </c>
      <c r="C623" t="s">
        <v>11</v>
      </c>
      <c r="D623" t="s">
        <v>1384</v>
      </c>
      <c r="E623" t="s">
        <v>1385</v>
      </c>
      <c r="F623" t="s">
        <v>1386</v>
      </c>
      <c r="G623" t="s">
        <v>1387</v>
      </c>
      <c r="H623" s="3">
        <v>39835.465277777781</v>
      </c>
      <c r="I623" t="str">
        <f ca="1">TEXT(TRUNC(44.4666667), "0" &amp; CHAR(176) &amp; " ") &amp; TEXT(INT((ABS(44.4666667)- INT(ABS(44.4666667)))*60), "0' ") &amp; TEXT(((((ABS(44.4666667)-INT(ABS(44.4666667)))*60)- INT((ABS(44.4666667) - INT(ABS(44.4666667)))*60))*60), " 0''")</f>
        <v>44°c c28  0</v>
      </c>
      <c r="J623" t="str">
        <f ca="1">TEXT(TRUNC(26.1333333), "0" &amp; CHAR(176) &amp; " ") &amp; TEXT(INT((ABS(26.1333333)- INT(ABS(26.1333333)))*60), "0' ") &amp; TEXT(((((ABS(26.1333333)-INT(ABS(26.1333333)))*60)- INT((ABS(26.1333333) - INT(ABS(26.1333333)))*60))*60), " 0''")</f>
        <v>26°c c7  60</v>
      </c>
    </row>
    <row r="624" spans="1:10">
      <c r="A624" t="s">
        <v>10</v>
      </c>
      <c r="B624" s="2">
        <v>1200</v>
      </c>
      <c r="C624" t="s">
        <v>24</v>
      </c>
      <c r="D624" t="s">
        <v>1388</v>
      </c>
      <c r="E624" t="s">
        <v>676</v>
      </c>
      <c r="F624" t="s">
        <v>71</v>
      </c>
      <c r="G624" t="s">
        <v>676</v>
      </c>
      <c r="H624" s="3">
        <v>39835.50625</v>
      </c>
      <c r="I624" t="str">
        <f ca="1">TEXT(TRUNC(43.7333333), "0" &amp; CHAR(176) &amp; " ") &amp; TEXT(INT((ABS(43.7333333)- INT(ABS(43.7333333)))*60), "0' ") &amp; TEXT(((((ABS(43.7333333)-INT(ABS(43.7333333)))*60)- INT((ABS(43.7333333) - INT(ABS(43.7333333)))*60))*60), " 0''")</f>
        <v>43°c c43  60</v>
      </c>
      <c r="J624" t="str">
        <f ca="1">TEXT(TRUNC(7.4166667), "0" &amp; CHAR(176) &amp; " ") &amp; TEXT(INT((ABS(7.4166667)- INT(ABS(7.4166667)))*60), "0' ") &amp; TEXT(((((ABS(7.4166667)-INT(ABS(7.4166667)))*60)- INT((ABS(7.4166667) - INT(ABS(7.4166667)))*60))*60), " 0''")</f>
        <v>7°c c25  0</v>
      </c>
    </row>
    <row r="625" spans="1:10">
      <c r="A625" t="s">
        <v>10</v>
      </c>
      <c r="B625" s="2">
        <v>1200</v>
      </c>
      <c r="C625" t="s">
        <v>11</v>
      </c>
      <c r="D625" t="s">
        <v>1389</v>
      </c>
      <c r="E625" t="s">
        <v>118</v>
      </c>
      <c r="F625" t="s">
        <v>53</v>
      </c>
      <c r="G625" t="s">
        <v>54</v>
      </c>
      <c r="H625" s="3">
        <v>39835.522222222222</v>
      </c>
      <c r="I625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625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626" spans="1:10">
      <c r="A626" t="s">
        <v>10</v>
      </c>
      <c r="B626" s="2">
        <v>1200</v>
      </c>
      <c r="C626" t="s">
        <v>24</v>
      </c>
      <c r="D626" t="s">
        <v>483</v>
      </c>
      <c r="E626" t="s">
        <v>372</v>
      </c>
      <c r="F626" t="s">
        <v>323</v>
      </c>
      <c r="G626" t="s">
        <v>174</v>
      </c>
      <c r="H626" s="3">
        <v>39835.538194444445</v>
      </c>
      <c r="I62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62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627" spans="1:10">
      <c r="A627" t="s">
        <v>10</v>
      </c>
      <c r="B627" s="2">
        <v>1200</v>
      </c>
      <c r="C627" t="s">
        <v>24</v>
      </c>
      <c r="D627" t="s">
        <v>1393</v>
      </c>
      <c r="E627" t="s">
        <v>1394</v>
      </c>
      <c r="F627" t="s">
        <v>750</v>
      </c>
      <c r="G627" t="s">
        <v>85</v>
      </c>
      <c r="H627" s="3">
        <v>39835.538888888892</v>
      </c>
      <c r="I627" t="str">
        <f ca="1">TEXT(TRUNC(59.3488889), "0" &amp; CHAR(176) &amp; " ") &amp; TEXT(INT((ABS(59.3488889)- INT(ABS(59.3488889)))*60), "0' ") &amp; TEXT(((((ABS(59.3488889)-INT(ABS(59.3488889)))*60)- INT((ABS(59.3488889) - INT(ABS(59.3488889)))*60))*60), " 0''")</f>
        <v>59°c c20  56</v>
      </c>
      <c r="J627" t="str">
        <f ca="1">TEXT(TRUNC(10.4675), "0" &amp; CHAR(176) &amp; " ") &amp; TEXT(INT((ABS(10.4675)- INT(ABS(10.4675)))*60), "0' ") &amp; TEXT(((((ABS(10.4675)-INT(ABS(10.4675)))*60)- INT((ABS(10.4675) - INT(ABS(10.4675)))*60))*60), " 0''")</f>
        <v>10°c c28  3</v>
      </c>
    </row>
    <row r="628" spans="1:10">
      <c r="A628" t="s">
        <v>10</v>
      </c>
      <c r="B628" s="2">
        <v>1200</v>
      </c>
      <c r="C628" t="s">
        <v>24</v>
      </c>
      <c r="D628" t="s">
        <v>1395</v>
      </c>
      <c r="E628" t="s">
        <v>1396</v>
      </c>
      <c r="F628" t="s">
        <v>706</v>
      </c>
      <c r="G628" t="s">
        <v>54</v>
      </c>
      <c r="H628" s="3">
        <v>39835.600694444445</v>
      </c>
      <c r="I628" t="str">
        <f ca="1">TEXT(TRUNC(54.5833333), "0" &amp; CHAR(176) &amp; " ") &amp; TEXT(INT((ABS(54.5833333)- INT(ABS(54.5833333)))*60), "0' ") &amp; TEXT(((((ABS(54.5833333)-INT(ABS(54.5833333)))*60)- INT((ABS(54.5833333) - INT(ABS(54.5833333)))*60))*60), " 0''")</f>
        <v>54°c c34  60</v>
      </c>
      <c r="J628" t="str">
        <f ca="1">TEXT(TRUNC(-5.9333333), "0" &amp; CHAR(176) &amp; " ") &amp; TEXT(INT((ABS(-5.9333333)- INT(ABS(-5.9333333)))*60), "0' ") &amp; TEXT(((((ABS(-5.9333333)-INT(ABS(-5.9333333)))*60)- INT((ABS(-5.9333333) - INT(ABS(-5.9333333)))*60))*60), " 0''")</f>
        <v>-5°c c55  60</v>
      </c>
    </row>
    <row r="629" spans="1:10">
      <c r="A629" t="s">
        <v>10</v>
      </c>
      <c r="B629" s="2">
        <v>1200</v>
      </c>
      <c r="C629" t="s">
        <v>24</v>
      </c>
      <c r="D629" t="s">
        <v>1069</v>
      </c>
      <c r="E629" t="s">
        <v>1397</v>
      </c>
      <c r="F629" t="s">
        <v>187</v>
      </c>
      <c r="G629" t="s">
        <v>49</v>
      </c>
      <c r="H629" s="3">
        <v>39835.605555555558</v>
      </c>
      <c r="I629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629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630" spans="1:10">
      <c r="A630" t="s">
        <v>10</v>
      </c>
      <c r="B630" s="2">
        <v>1200</v>
      </c>
      <c r="C630" t="s">
        <v>11</v>
      </c>
      <c r="D630" t="s">
        <v>1398</v>
      </c>
      <c r="E630" t="s">
        <v>1399</v>
      </c>
      <c r="F630" t="s">
        <v>513</v>
      </c>
      <c r="G630" t="s">
        <v>65</v>
      </c>
      <c r="H630" s="3">
        <v>39835.647222222222</v>
      </c>
      <c r="I630" t="str">
        <f ca="1">TEXT(TRUNC(53.2522222), "0" &amp; CHAR(176) &amp; " ") &amp; TEXT(INT((ABS(53.2522222)- INT(ABS(53.2522222)))*60), "0' ") &amp; TEXT(((((ABS(53.2522222)-INT(ABS(53.2522222)))*60)- INT((ABS(53.2522222) - INT(ABS(53.2522222)))*60))*60), " 0''")</f>
        <v>53°c c15  8</v>
      </c>
      <c r="J630" t="str">
        <f ca="1">TEXT(TRUNC(-6.1125), "0" &amp; CHAR(176) &amp; " ") &amp; TEXT(INT((ABS(-6.1125)- INT(ABS(-6.1125)))*60), "0' ") &amp; TEXT(((((ABS(-6.1125)-INT(ABS(-6.1125)))*60)- INT((ABS(-6.1125) - INT(ABS(-6.1125)))*60))*60), " 0''")</f>
        <v>-6°c c6  45</v>
      </c>
    </row>
    <row r="631" spans="1:10">
      <c r="A631" t="s">
        <v>10</v>
      </c>
      <c r="B631" s="2">
        <v>1200</v>
      </c>
      <c r="C631" t="s">
        <v>24</v>
      </c>
      <c r="D631" t="s">
        <v>1400</v>
      </c>
      <c r="E631" t="s">
        <v>285</v>
      </c>
      <c r="F631" t="s">
        <v>27</v>
      </c>
      <c r="G631" t="s">
        <v>15</v>
      </c>
      <c r="H631" s="3">
        <v>39835.649305555555</v>
      </c>
      <c r="I631" t="str">
        <f ca="1">TEXT(TRUNC(29.76306), "0" &amp; CHAR(176) &amp; " ") &amp; TEXT(INT((ABS(29.76306)- INT(ABS(29.76306)))*60), "0' ") &amp; TEXT(((((ABS(29.76306)-INT(ABS(29.76306)))*60)- INT((ABS(29.76306) - INT(ABS(29.76306)))*60))*60), " 0''")</f>
        <v>29°c c45  47</v>
      </c>
      <c r="J631" t="str">
        <f ca="1">TEXT(TRUNC(-95.36306), "0" &amp; CHAR(176) &amp; " ") &amp; TEXT(INT((ABS(-95.36306)- INT(ABS(-95.36306)))*60), "0' ") &amp; TEXT(((((ABS(-95.36306)-INT(ABS(-95.36306)))*60)- INT((ABS(-95.36306) - INT(ABS(-95.36306)))*60))*60), " 0''")</f>
        <v>-95°c c21  47</v>
      </c>
    </row>
    <row r="632" spans="1:10">
      <c r="A632" t="s">
        <v>10</v>
      </c>
      <c r="B632" s="2">
        <v>1200</v>
      </c>
      <c r="C632" t="s">
        <v>24</v>
      </c>
      <c r="D632" t="s">
        <v>1401</v>
      </c>
      <c r="E632" t="s">
        <v>1402</v>
      </c>
      <c r="F632" t="s">
        <v>140</v>
      </c>
      <c r="G632" t="s">
        <v>15</v>
      </c>
      <c r="H632" s="3">
        <v>39835.686805555553</v>
      </c>
      <c r="I632" t="str">
        <f ca="1">TEXT(TRUNC(37.1306), "0" &amp; CHAR(176) &amp; " ") &amp; TEXT(INT((ABS(37.1306)- INT(ABS(37.1306)))*60), "0' ") &amp; TEXT(((((ABS(37.1306)-INT(ABS(37.1306)))*60)- INT((ABS(37.1306) - INT(ABS(37.1306)))*60))*60), " 0''")</f>
        <v>37°c c7  50</v>
      </c>
      <c r="J632" t="str">
        <f ca="1">TEXT(TRUNC(-113.6492), "0" &amp; CHAR(176) &amp; " ") &amp; TEXT(INT((ABS(-113.6492)- INT(ABS(-113.6492)))*60), "0' ") &amp; TEXT(((((ABS(-113.6492)-INT(ABS(-113.6492)))*60)- INT((ABS(-113.6492) - INT(ABS(-113.6492)))*60))*60), " 0''")</f>
        <v>-113°c c38  57</v>
      </c>
    </row>
    <row r="633" spans="1:10">
      <c r="A633" t="s">
        <v>10</v>
      </c>
      <c r="B633" s="2">
        <v>1200</v>
      </c>
      <c r="C633" t="s">
        <v>24</v>
      </c>
      <c r="D633" t="s">
        <v>1403</v>
      </c>
      <c r="E633" t="s">
        <v>1404</v>
      </c>
      <c r="F633" t="s">
        <v>774</v>
      </c>
      <c r="G633" t="s">
        <v>15</v>
      </c>
      <c r="H633" s="3">
        <v>39835.754861111112</v>
      </c>
      <c r="I633" t="str">
        <f ca="1">TEXT(TRUNC(34.73694), "0" &amp; CHAR(176) &amp; " ") &amp; TEXT(INT((ABS(34.73694)- INT(ABS(34.73694)))*60), "0' ") &amp; TEXT(((((ABS(34.73694)-INT(ABS(34.73694)))*60)- INT((ABS(34.73694) - INT(ABS(34.73694)))*60))*60), " 0''")</f>
        <v>34°c c44  13</v>
      </c>
      <c r="J633" t="str">
        <f ca="1">TEXT(TRUNC(-82.25444), "0" &amp; CHAR(176) &amp; " ") &amp; TEXT(INT((ABS(-82.25444)- INT(ABS(-82.25444)))*60), "0' ") &amp; TEXT(((((ABS(-82.25444)-INT(ABS(-82.25444)))*60)- INT((ABS(-82.25444) - INT(ABS(-82.25444)))*60))*60), " 0''")</f>
        <v>-82°c c15  16</v>
      </c>
    </row>
    <row r="634" spans="1:10">
      <c r="A634" t="s">
        <v>10</v>
      </c>
      <c r="B634" s="2">
        <v>1200</v>
      </c>
      <c r="C634" t="s">
        <v>24</v>
      </c>
      <c r="D634" t="s">
        <v>202</v>
      </c>
      <c r="E634" t="s">
        <v>1405</v>
      </c>
      <c r="F634" t="s">
        <v>27</v>
      </c>
      <c r="G634" t="s">
        <v>15</v>
      </c>
      <c r="H634" s="3">
        <v>39835.780555555553</v>
      </c>
      <c r="I634" t="str">
        <f ca="1">TEXT(TRUNC(32.94111), "0" &amp; CHAR(176) &amp; " ") &amp; TEXT(INT((ABS(32.94111)- INT(ABS(32.94111)))*60), "0' ") &amp; TEXT(((((ABS(32.94111)-INT(ABS(32.94111)))*60)- INT((ABS(32.94111) - INT(ABS(32.94111)))*60))*60), " 0''")</f>
        <v>32°c c56  28</v>
      </c>
      <c r="J634" t="str">
        <f ca="1">TEXT(TRUNC(-97.13389), "0" &amp; CHAR(176) &amp; " ") &amp; TEXT(INT((ABS(-97.13389)- INT(ABS(-97.13389)))*60), "0' ") &amp; TEXT(((((ABS(-97.13389)-INT(ABS(-97.13389)))*60)- INT((ABS(-97.13389) - INT(ABS(-97.13389)))*60))*60), " 0''")</f>
        <v>-97°c c8  2</v>
      </c>
    </row>
    <row r="635" spans="1:10">
      <c r="A635" t="s">
        <v>10</v>
      </c>
      <c r="B635" s="2">
        <v>1200</v>
      </c>
      <c r="C635" t="s">
        <v>11</v>
      </c>
      <c r="D635" t="s">
        <v>1408</v>
      </c>
      <c r="E635" t="s">
        <v>1409</v>
      </c>
      <c r="F635" t="s">
        <v>98</v>
      </c>
      <c r="G635" t="s">
        <v>15</v>
      </c>
      <c r="H635" s="3">
        <v>39835.982638888891</v>
      </c>
      <c r="I635" t="str">
        <f ca="1">TEXT(TRUNC(41.98111), "0" &amp; CHAR(176) &amp; " ") &amp; TEXT(INT((ABS(41.98111)- INT(ABS(41.98111)))*60), "0' ") &amp; TEXT(((((ABS(41.98111)-INT(ABS(41.98111)))*60)- INT((ABS(41.98111) - INT(ABS(41.98111)))*60))*60), " 0''")</f>
        <v>41°c c58  52</v>
      </c>
      <c r="J635" t="str">
        <f ca="1">TEXT(TRUNC(-89.595), "0" &amp; CHAR(176) &amp; " ") &amp; TEXT(INT((ABS(-89.595)- INT(ABS(-89.595)))*60), "0' ") &amp; TEXT(((((ABS(-89.595)-INT(ABS(-89.595)))*60)- INT((ABS(-89.595) - INT(ABS(-89.595)))*60))*60), " 0''")</f>
        <v>-89°c c35  42</v>
      </c>
    </row>
    <row r="636" spans="1:10">
      <c r="A636" t="s">
        <v>10</v>
      </c>
      <c r="B636" s="2">
        <v>1200</v>
      </c>
      <c r="C636" t="s">
        <v>33</v>
      </c>
      <c r="D636" t="s">
        <v>1410</v>
      </c>
      <c r="E636" t="s">
        <v>1411</v>
      </c>
      <c r="F636" t="s">
        <v>30</v>
      </c>
      <c r="G636" t="s">
        <v>31</v>
      </c>
      <c r="H636" s="3">
        <v>39836.145833333336</v>
      </c>
      <c r="I636" t="str">
        <f ca="1">TEXT(TRUNC(52.3), "0" &amp; CHAR(176) &amp; " ") &amp; TEXT(INT((ABS(52.3)- INT(ABS(52.3)))*60), "0' ") &amp; TEXT(((((ABS(52.3)-INT(ABS(52.3)))*60)- INT((ABS(52.3) - INT(ABS(52.3)))*60))*60), " 0''")</f>
        <v>52°c c17  60</v>
      </c>
      <c r="J636" t="str">
        <f ca="1">TEXT(TRUNC(5.15), "0" &amp; CHAR(176) &amp; " ") &amp; TEXT(INT((ABS(5.15)- INT(ABS(5.15)))*60), "0' ") &amp; TEXT(((((ABS(5.15)-INT(ABS(5.15)))*60)- INT((ABS(5.15) - INT(ABS(5.15)))*60))*60), " 0''")</f>
        <v>5°c c9  0</v>
      </c>
    </row>
    <row r="637" spans="1:10">
      <c r="A637" t="s">
        <v>10</v>
      </c>
      <c r="B637" s="2">
        <v>1200</v>
      </c>
      <c r="C637" t="s">
        <v>11</v>
      </c>
      <c r="D637" t="s">
        <v>585</v>
      </c>
      <c r="E637" t="s">
        <v>1413</v>
      </c>
      <c r="F637" t="s">
        <v>513</v>
      </c>
      <c r="G637" t="s">
        <v>65</v>
      </c>
      <c r="H637" s="3">
        <v>39836.199305555558</v>
      </c>
      <c r="I637" t="str">
        <f ca="1">TEXT(TRUNC(53.335), "0" &amp; CHAR(176) &amp; " ") &amp; TEXT(INT((ABS(53.335)- INT(ABS(53.335)))*60), "0' ") &amp; TEXT(((((ABS(53.335)-INT(ABS(53.335)))*60)- INT((ABS(53.335) - INT(ABS(53.335)))*60))*60), " 0''")</f>
        <v>53°c c20  6</v>
      </c>
      <c r="J637" t="str">
        <f ca="1">TEXT(TRUNC(-6.2113889), "0" &amp; CHAR(176) &amp; " ") &amp; TEXT(INT((ABS(-6.2113889)- INT(ABS(-6.2113889)))*60), "0' ") &amp; TEXT(((((ABS(-6.2113889)-INT(ABS(-6.2113889)))*60)- INT((ABS(-6.2113889) - INT(ABS(-6.2113889)))*60))*60), " 0''")</f>
        <v>-6°c c12  41</v>
      </c>
    </row>
    <row r="638" spans="1:10">
      <c r="A638" t="s">
        <v>10</v>
      </c>
      <c r="B638" s="2">
        <v>1200</v>
      </c>
      <c r="C638" t="s">
        <v>24</v>
      </c>
      <c r="D638" t="s">
        <v>1414</v>
      </c>
      <c r="E638" t="s">
        <v>1415</v>
      </c>
      <c r="F638" t="s">
        <v>513</v>
      </c>
      <c r="G638" t="s">
        <v>65</v>
      </c>
      <c r="H638" s="3">
        <v>39836.21597222222</v>
      </c>
      <c r="I638" t="str">
        <f ca="1">TEXT(TRUNC(53.3030556), "0" &amp; CHAR(176) &amp; " ") &amp; TEXT(INT((ABS(53.3030556)- INT(ABS(53.3030556)))*60), "0' ") &amp; TEXT(((((ABS(53.3030556)-INT(ABS(53.3030556)))*60)- INT((ABS(53.3030556) - INT(ABS(53.3030556)))*60))*60), " 0''")</f>
        <v>53°c c18  11</v>
      </c>
      <c r="J638" t="str">
        <f ca="1">TEXT(TRUNC(-6.1830556), "0" &amp; CHAR(176) &amp; " ") &amp; TEXT(INT((ABS(-6.1830556)- INT(ABS(-6.1830556)))*60), "0' ") &amp; TEXT(((((ABS(-6.1830556)-INT(ABS(-6.1830556)))*60)- INT((ABS(-6.1830556) - INT(ABS(-6.1830556)))*60))*60), " 0''")</f>
        <v>-6°c c10  59</v>
      </c>
    </row>
    <row r="639" spans="1:10">
      <c r="A639" t="s">
        <v>10</v>
      </c>
      <c r="B639" s="2">
        <v>1200</v>
      </c>
      <c r="C639" t="s">
        <v>24</v>
      </c>
      <c r="D639" t="s">
        <v>1416</v>
      </c>
      <c r="E639" t="s">
        <v>461</v>
      </c>
      <c r="F639" t="s">
        <v>48</v>
      </c>
      <c r="G639" t="s">
        <v>49</v>
      </c>
      <c r="H639" s="3">
        <v>39836.218055555553</v>
      </c>
      <c r="I639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639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640" spans="1:10">
      <c r="A640" t="s">
        <v>10</v>
      </c>
      <c r="B640" s="2">
        <v>1200</v>
      </c>
      <c r="C640" t="s">
        <v>33</v>
      </c>
      <c r="D640" t="s">
        <v>1417</v>
      </c>
      <c r="E640" t="s">
        <v>74</v>
      </c>
      <c r="F640" t="s">
        <v>74</v>
      </c>
      <c r="G640" t="s">
        <v>75</v>
      </c>
      <c r="H640" s="3">
        <v>39836.244444444441</v>
      </c>
      <c r="I640" t="str">
        <f ca="1">TEXT(TRUNC(47.1666667), "0" &amp; CHAR(176) &amp; " ") &amp; TEXT(INT((ABS(47.1666667)- INT(ABS(47.1666667)))*60), "0' ") &amp; TEXT(((((ABS(47.1666667)-INT(ABS(47.1666667)))*60)- INT((ABS(47.1666667) - INT(ABS(47.1666667)))*60))*60), " 0''")</f>
        <v>47°c c10  0</v>
      </c>
      <c r="J640" t="str">
        <f ca="1">TEXT(TRUNC(8.5166667), "0" &amp; CHAR(176) &amp; " ") &amp; TEXT(INT((ABS(8.5166667)- INT(ABS(8.5166667)))*60), "0' ") &amp; TEXT(((((ABS(8.5166667)-INT(ABS(8.5166667)))*60)- INT((ABS(8.5166667) - INT(ABS(8.5166667)))*60))*60), " 0''")</f>
        <v>8°c c31  0</v>
      </c>
    </row>
    <row r="641" spans="1:10">
      <c r="A641" t="s">
        <v>10</v>
      </c>
      <c r="B641" s="2">
        <v>1200</v>
      </c>
      <c r="C641" t="s">
        <v>33</v>
      </c>
      <c r="D641" t="s">
        <v>1418</v>
      </c>
      <c r="E641" t="s">
        <v>1419</v>
      </c>
      <c r="F641" t="s">
        <v>580</v>
      </c>
      <c r="G641" t="s">
        <v>15</v>
      </c>
      <c r="H641" s="3">
        <v>39836.294444444444</v>
      </c>
      <c r="I641" t="str">
        <f ca="1">TEXT(TRUNC(41.1175), "0" &amp; CHAR(176) &amp; " ") &amp; TEXT(INT((ABS(41.1175)- INT(ABS(41.1175)))*60), "0' ") &amp; TEXT(((((ABS(41.1175)-INT(ABS(41.1175)))*60)- INT((ABS(41.1175) - INT(ABS(41.1175)))*60))*60), " 0''")</f>
        <v>41°c c7  3</v>
      </c>
      <c r="J641" t="str">
        <f ca="1">TEXT(TRUNC(-73.40833), "0" &amp; CHAR(176) &amp; " ") &amp; TEXT(INT((ABS(-73.40833)- INT(ABS(-73.40833)))*60), "0' ") &amp; TEXT(((((ABS(-73.40833)-INT(ABS(-73.40833)))*60)- INT((ABS(-73.40833) - INT(ABS(-73.40833)))*60))*60), " 0''")</f>
        <v>-73°c c24  30</v>
      </c>
    </row>
    <row r="642" spans="1:10">
      <c r="A642" t="s">
        <v>10</v>
      </c>
      <c r="B642" s="2">
        <v>1200</v>
      </c>
      <c r="C642" t="s">
        <v>24</v>
      </c>
      <c r="D642" t="s">
        <v>366</v>
      </c>
      <c r="E642" t="s">
        <v>783</v>
      </c>
      <c r="F642" t="s">
        <v>783</v>
      </c>
      <c r="G642" t="s">
        <v>1420</v>
      </c>
      <c r="H642" s="3">
        <v>39836.300694444442</v>
      </c>
      <c r="I642" t="str">
        <f ca="1">TEXT(TRUNC(32.2941667), "0" &amp; CHAR(176) &amp; " ") &amp; TEXT(INT((ABS(32.2941667)- INT(ABS(32.2941667)))*60), "0' ") &amp; TEXT(((((ABS(32.2941667)-INT(ABS(32.2941667)))*60)- INT((ABS(32.2941667) - INT(ABS(32.2941667)))*60))*60), " 0''")</f>
        <v>32°c c17  39</v>
      </c>
      <c r="J642" t="str">
        <f ca="1">TEXT(TRUNC(-64.7838889), "0" &amp; CHAR(176) &amp; " ") &amp; TEXT(INT((ABS(-64.7838889)- INT(ABS(-64.7838889)))*60), "0' ") &amp; TEXT(((((ABS(-64.7838889)-INT(ABS(-64.7838889)))*60)- INT((ABS(-64.7838889) - INT(ABS(-64.7838889)))*60))*60), " 0''")</f>
        <v>-64°c c47  2</v>
      </c>
    </row>
    <row r="643" spans="1:10">
      <c r="A643" t="s">
        <v>10</v>
      </c>
      <c r="B643" s="2">
        <v>1800</v>
      </c>
      <c r="C643" t="s">
        <v>33</v>
      </c>
      <c r="D643" t="s">
        <v>1422</v>
      </c>
      <c r="E643" t="s">
        <v>810</v>
      </c>
      <c r="F643" t="s">
        <v>476</v>
      </c>
      <c r="G643" t="s">
        <v>15</v>
      </c>
      <c r="H643" s="3">
        <v>39836.324305555558</v>
      </c>
      <c r="I643" t="str">
        <f ca="1">TEXT(TRUNC(33.9525), "0" &amp; CHAR(176) &amp; " ") &amp; TEXT(INT((ABS(33.9525)- INT(ABS(33.9525)))*60), "0' ") &amp; TEXT(((((ABS(33.9525)-INT(ABS(33.9525)))*60)- INT((ABS(33.9525) - INT(ABS(33.9525)))*60))*60), " 0''")</f>
        <v>33°c c57  9</v>
      </c>
      <c r="J643" t="str">
        <f ca="1">TEXT(TRUNC(-84.55), "0" &amp; CHAR(176) &amp; " ") &amp; TEXT(INT((ABS(-84.55)- INT(ABS(-84.55)))*60), "0' ") &amp; TEXT(((((ABS(-84.55)-INT(ABS(-84.55)))*60)- INT((ABS(-84.55) - INT(ABS(-84.55)))*60))*60), " 0''")</f>
        <v>-84°c c32  60</v>
      </c>
    </row>
    <row r="644" spans="1:10">
      <c r="A644" t="s">
        <v>10</v>
      </c>
      <c r="B644" s="2">
        <v>1200</v>
      </c>
      <c r="C644" t="s">
        <v>50</v>
      </c>
      <c r="D644" t="s">
        <v>1423</v>
      </c>
      <c r="E644" t="s">
        <v>1424</v>
      </c>
      <c r="F644" t="s">
        <v>1425</v>
      </c>
      <c r="G644" t="s">
        <v>145</v>
      </c>
      <c r="H644" s="3">
        <v>39836.333333333336</v>
      </c>
      <c r="I644" t="str">
        <f ca="1">TEXT(TRUNC(47.4166667), "0" &amp; CHAR(176) &amp; " ") &amp; TEXT(INT((ABS(47.4166667)- INT(ABS(47.4166667)))*60), "0' ") &amp; TEXT(((((ABS(47.4166667)-INT(ABS(47.4166667)))*60)- INT((ABS(47.4166667) - INT(ABS(47.4166667)))*60))*60), " 0''")</f>
        <v>47°c c25  0</v>
      </c>
      <c r="J644" t="str">
        <f ca="1">TEXT(TRUNC(19.0833333), "0" &amp; CHAR(176) &amp; " ") &amp; TEXT(INT((ABS(19.0833333)- INT(ABS(19.0833333)))*60), "0' ") &amp; TEXT(((((ABS(19.0833333)-INT(ABS(19.0833333)))*60)- INT((ABS(19.0833333) - INT(ABS(19.0833333)))*60))*60), " 0''")</f>
        <v>19°c c4  60</v>
      </c>
    </row>
    <row r="645" spans="1:10">
      <c r="A645" t="s">
        <v>10</v>
      </c>
      <c r="B645" s="2">
        <v>1200</v>
      </c>
      <c r="C645" t="s">
        <v>11</v>
      </c>
      <c r="D645" t="s">
        <v>1428</v>
      </c>
      <c r="E645" t="s">
        <v>709</v>
      </c>
      <c r="F645" t="s">
        <v>709</v>
      </c>
      <c r="G645" t="s">
        <v>159</v>
      </c>
      <c r="H645" s="3">
        <v>39836.39375</v>
      </c>
      <c r="I645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645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646" spans="1:10">
      <c r="A646" t="s">
        <v>10</v>
      </c>
      <c r="B646" s="2">
        <v>1200</v>
      </c>
      <c r="C646" t="s">
        <v>24</v>
      </c>
      <c r="D646" t="s">
        <v>1429</v>
      </c>
      <c r="E646" t="s">
        <v>1430</v>
      </c>
      <c r="F646" t="s">
        <v>95</v>
      </c>
      <c r="G646" t="s">
        <v>81</v>
      </c>
      <c r="H646" s="3">
        <v>39836.40902777778</v>
      </c>
      <c r="I646" t="str">
        <f ca="1">TEXT(TRUNC(43.9333333), "0" &amp; CHAR(176) &amp; " ") &amp; TEXT(INT((ABS(43.9333333)- INT(ABS(43.9333333)))*60), "0' ") &amp; TEXT(((((ABS(43.9333333)-INT(ABS(43.9333333)))*60)- INT((ABS(43.9333333) - INT(ABS(43.9333333)))*60))*60), " 0''")</f>
        <v>43°c c55  60</v>
      </c>
      <c r="J646" t="str">
        <f ca="1">TEXT(TRUNC(-79.5333333), "0" &amp; CHAR(176) &amp; " ") &amp; TEXT(INT((ABS(-79.5333333)- INT(ABS(-79.5333333)))*60), "0' ") &amp; TEXT(((((ABS(-79.5333333)-INT(ABS(-79.5333333)))*60)- INT((ABS(-79.5333333) - INT(ABS(-79.5333333)))*60))*60), " 0''")</f>
        <v>-79°c c31  60</v>
      </c>
    </row>
    <row r="647" spans="1:10">
      <c r="A647" t="s">
        <v>10</v>
      </c>
      <c r="B647" s="2">
        <v>1200</v>
      </c>
      <c r="C647" t="s">
        <v>11</v>
      </c>
      <c r="D647" t="s">
        <v>784</v>
      </c>
      <c r="E647" t="s">
        <v>1431</v>
      </c>
      <c r="F647" t="s">
        <v>57</v>
      </c>
      <c r="G647" t="s">
        <v>15</v>
      </c>
      <c r="H647" s="3">
        <v>39836.419444444444</v>
      </c>
      <c r="I647" t="str">
        <f ca="1">TEXT(TRUNC(34.09833), "0" &amp; CHAR(176) &amp; " ") &amp; TEXT(INT((ABS(34.09833)- INT(ABS(34.09833)))*60), "0' ") &amp; TEXT(((((ABS(34.09833)-INT(ABS(34.09833)))*60)- INT((ABS(34.09833) - INT(ABS(34.09833)))*60))*60), " 0''")</f>
        <v>34°c c5  54</v>
      </c>
      <c r="J647" t="str">
        <f ca="1">TEXT(TRUNC(-118.32583), "0" &amp; CHAR(176) &amp; " ") &amp; TEXT(INT((ABS(-118.32583)- INT(ABS(-118.32583)))*60), "0' ") &amp; TEXT(((((ABS(-118.32583)-INT(ABS(-118.32583)))*60)- INT((ABS(-118.32583) - INT(ABS(-118.32583)))*60))*60), " 0''")</f>
        <v>-118°c c19  33</v>
      </c>
    </row>
    <row r="648" spans="1:10">
      <c r="A648" t="s">
        <v>10</v>
      </c>
      <c r="B648" s="2">
        <v>1200</v>
      </c>
      <c r="C648" t="s">
        <v>24</v>
      </c>
      <c r="D648" t="s">
        <v>432</v>
      </c>
      <c r="E648" t="s">
        <v>1432</v>
      </c>
      <c r="F648" t="s">
        <v>98</v>
      </c>
      <c r="G648" t="s">
        <v>15</v>
      </c>
      <c r="H648" s="3">
        <v>39836.447916666664</v>
      </c>
      <c r="I648" t="str">
        <f ca="1">TEXT(TRUNC(41.91417), "0" &amp; CHAR(176) &amp; " ") &amp; TEXT(INT((ABS(41.91417)- INT(ABS(41.91417)))*60), "0' ") &amp; TEXT(((((ABS(41.91417)-INT(ABS(41.91417)))*60)- INT((ABS(41.91417) - INT(ABS(41.91417)))*60))*60), " 0''")</f>
        <v>41°c c54  51</v>
      </c>
      <c r="J648" t="str">
        <f ca="1">TEXT(TRUNC(-88.30861), "0" &amp; CHAR(176) &amp; " ") &amp; TEXT(INT((ABS(-88.30861)- INT(ABS(-88.30861)))*60), "0' ") &amp; TEXT(((((ABS(-88.30861)-INT(ABS(-88.30861)))*60)- INT((ABS(-88.30861) - INT(ABS(-88.30861)))*60))*60), " 0''")</f>
        <v>-88°c c18  31</v>
      </c>
    </row>
    <row r="649" spans="1:10">
      <c r="A649" t="s">
        <v>10</v>
      </c>
      <c r="B649" s="2">
        <v>1200</v>
      </c>
      <c r="C649" t="s">
        <v>11</v>
      </c>
      <c r="D649" t="s">
        <v>277</v>
      </c>
      <c r="E649" t="s">
        <v>1433</v>
      </c>
      <c r="F649" t="s">
        <v>14</v>
      </c>
      <c r="G649" t="s">
        <v>15</v>
      </c>
      <c r="H649" s="3">
        <v>39836.474305555559</v>
      </c>
      <c r="I649" t="str">
        <f ca="1">TEXT(TRUNC(41.70028), "0" &amp; CHAR(176) &amp; " ") &amp; TEXT(INT((ABS(41.70028)- INT(ABS(41.70028)))*60), "0' ") &amp; TEXT(((((ABS(41.70028)-INT(ABS(41.70028)))*60)- INT((ABS(41.70028) - INT(ABS(41.70028)))*60))*60), " 0''")</f>
        <v>41°c c42  1</v>
      </c>
      <c r="J649" t="str">
        <f ca="1">TEXT(TRUNC(-73.92139), "0" &amp; CHAR(176) &amp; " ") &amp; TEXT(INT((ABS(-73.92139)- INT(ABS(-73.92139)))*60), "0' ") &amp; TEXT(((((ABS(-73.92139)-INT(ABS(-73.92139)))*60)- INT((ABS(-73.92139) - INT(ABS(-73.92139)))*60))*60), " 0''")</f>
        <v>-73°c c55  17</v>
      </c>
    </row>
    <row r="650" spans="1:10">
      <c r="A650" t="s">
        <v>10</v>
      </c>
      <c r="B650" s="2">
        <v>1200</v>
      </c>
      <c r="C650" t="s">
        <v>11</v>
      </c>
      <c r="D650" t="s">
        <v>1434</v>
      </c>
      <c r="E650" t="s">
        <v>1435</v>
      </c>
      <c r="F650" t="s">
        <v>57</v>
      </c>
      <c r="G650" t="s">
        <v>15</v>
      </c>
      <c r="H650" s="3">
        <v>39836.48125</v>
      </c>
      <c r="I650" t="str">
        <f ca="1">TEXT(TRUNC(37.90639), "0" &amp; CHAR(176) &amp; " ") &amp; TEXT(INT((ABS(37.90639)- INT(ABS(37.90639)))*60), "0' ") &amp; TEXT(((((ABS(37.90639)-INT(ABS(37.90639)))*60)- INT((ABS(37.90639) - INT(ABS(37.90639)))*60))*60), " 0''")</f>
        <v>37°c c54  23</v>
      </c>
      <c r="J650" t="str">
        <f ca="1">TEXT(TRUNC(-122.06389), "0" &amp; CHAR(176) &amp; " ") &amp; TEXT(INT((ABS(-122.06389)- INT(ABS(-122.06389)))*60), "0' ") &amp; TEXT(((((ABS(-122.06389)-INT(ABS(-122.06389)))*60)- INT((ABS(-122.06389) - INT(ABS(-122.06389)))*60))*60), " 0''")</f>
        <v>-122°c c3  50</v>
      </c>
    </row>
    <row r="651" spans="1:10">
      <c r="A651" t="s">
        <v>10</v>
      </c>
      <c r="B651" s="2">
        <v>1200</v>
      </c>
      <c r="C651" t="s">
        <v>50</v>
      </c>
      <c r="D651" t="s">
        <v>1436</v>
      </c>
      <c r="E651" t="s">
        <v>948</v>
      </c>
      <c r="F651" t="s">
        <v>14</v>
      </c>
      <c r="G651" t="s">
        <v>15</v>
      </c>
      <c r="H651" s="3">
        <v>39836.484027777777</v>
      </c>
      <c r="I651" t="str">
        <f ca="1">TEXT(TRUNC(40.56472), "0" &amp; CHAR(176) &amp; " ") &amp; TEXT(INT((ABS(40.56472)- INT(ABS(40.56472)))*60), "0' ") &amp; TEXT(((((ABS(40.56472)-INT(ABS(40.56472)))*60)- INT((ABS(40.56472) - INT(ABS(40.56472)))*60))*60), " 0''")</f>
        <v>40°c c33  53</v>
      </c>
      <c r="J651" t="str">
        <f ca="1">TEXT(TRUNC(-74.1275), "0" &amp; CHAR(176) &amp; " ") &amp; TEXT(INT((ABS(-74.1275)- INT(ABS(-74.1275)))*60), "0' ") &amp; TEXT(((((ABS(-74.1275)-INT(ABS(-74.1275)))*60)- INT((ABS(-74.1275) - INT(ABS(-74.1275)))*60))*60), " 0''")</f>
        <v>-74°c c7  39</v>
      </c>
    </row>
    <row r="652" spans="1:10">
      <c r="A652" t="s">
        <v>10</v>
      </c>
      <c r="B652" s="2">
        <v>1200</v>
      </c>
      <c r="C652" t="s">
        <v>11</v>
      </c>
      <c r="D652" t="s">
        <v>1437</v>
      </c>
      <c r="E652" t="s">
        <v>269</v>
      </c>
      <c r="F652" t="s">
        <v>270</v>
      </c>
      <c r="G652" t="s">
        <v>31</v>
      </c>
      <c r="H652" s="3">
        <v>39836.515972222223</v>
      </c>
      <c r="I652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652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653" spans="1:10">
      <c r="A653" t="s">
        <v>10</v>
      </c>
      <c r="B653" s="2">
        <v>1200</v>
      </c>
      <c r="C653" t="s">
        <v>11</v>
      </c>
      <c r="D653" t="s">
        <v>1440</v>
      </c>
      <c r="E653" t="s">
        <v>842</v>
      </c>
      <c r="F653" t="s">
        <v>405</v>
      </c>
      <c r="G653" t="s">
        <v>15</v>
      </c>
      <c r="H653" s="3">
        <v>39836.550694444442</v>
      </c>
      <c r="I653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653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654" spans="1:10">
      <c r="A654" t="s">
        <v>10</v>
      </c>
      <c r="B654" s="2">
        <v>1200</v>
      </c>
      <c r="C654" t="s">
        <v>11</v>
      </c>
      <c r="D654" t="s">
        <v>1441</v>
      </c>
      <c r="E654" t="s">
        <v>13</v>
      </c>
      <c r="F654" t="s">
        <v>14</v>
      </c>
      <c r="G654" t="s">
        <v>15</v>
      </c>
      <c r="H654" s="3">
        <v>39836.579861111109</v>
      </c>
      <c r="I654" t="str">
        <f ca="1">TEXT(TRUNC(40.91139), "0" &amp; CHAR(176) &amp; " ") &amp; TEXT(INT((ABS(40.91139)- INT(ABS(40.91139)))*60), "0' ") &amp; TEXT(((((ABS(40.91139)-INT(ABS(40.91139)))*60)- INT((ABS(40.91139) - INT(ABS(40.91139)))*60))*60), " 0''")</f>
        <v>40°c c54  41</v>
      </c>
      <c r="J654" t="str">
        <f ca="1">TEXT(TRUNC(-73.78278), "0" &amp; CHAR(176) &amp; " ") &amp; TEXT(INT((ABS(-73.78278)- INT(ABS(-73.78278)))*60), "0' ") &amp; TEXT(((((ABS(-73.78278)-INT(ABS(-73.78278)))*60)- INT((ABS(-73.78278) - INT(ABS(-73.78278)))*60))*60), " 0''")</f>
        <v>-73°c c46  58</v>
      </c>
    </row>
    <row r="655" spans="1:10">
      <c r="A655" t="s">
        <v>10</v>
      </c>
      <c r="B655" s="2">
        <v>1200</v>
      </c>
      <c r="C655" t="s">
        <v>24</v>
      </c>
      <c r="D655" t="s">
        <v>1442</v>
      </c>
      <c r="E655" t="s">
        <v>1443</v>
      </c>
      <c r="F655" t="s">
        <v>596</v>
      </c>
      <c r="G655" t="s">
        <v>597</v>
      </c>
      <c r="H655" s="3">
        <v>39836.613194444442</v>
      </c>
      <c r="I655" t="str">
        <f ca="1">TEXT(TRUNC(-36.7), "0" &amp; CHAR(176) &amp; " ") &amp; TEXT(INT((ABS(-36.7)- INT(ABS(-36.7)))*60), "0' ") &amp; TEXT(((((ABS(-36.7)-INT(ABS(-36.7)))*60)- INT((ABS(-36.7) - INT(ABS(-36.7)))*60))*60), " 0''")</f>
        <v>-36°c c42  0</v>
      </c>
      <c r="J655" t="str">
        <f ca="1">TEXT(TRUNC(174.75), "0" &amp; CHAR(176) &amp; " ") &amp; TEXT(INT((ABS(174.75)- INT(ABS(174.75)))*60), "0' ") &amp; TEXT(((((ABS(174.75)-INT(ABS(174.75)))*60)- INT((ABS(174.75) - INT(ABS(174.75)))*60))*60), " 0''")</f>
        <v>174°c c45  0</v>
      </c>
    </row>
    <row r="656" spans="1:10">
      <c r="A656" t="s">
        <v>10</v>
      </c>
      <c r="B656" s="2">
        <v>1200</v>
      </c>
      <c r="C656" t="s">
        <v>11</v>
      </c>
      <c r="D656" t="s">
        <v>1444</v>
      </c>
      <c r="E656" t="s">
        <v>1445</v>
      </c>
      <c r="F656" t="s">
        <v>179</v>
      </c>
      <c r="G656" t="s">
        <v>15</v>
      </c>
      <c r="H656" s="3">
        <v>39836.622916666667</v>
      </c>
      <c r="I656" t="str">
        <f ca="1">TEXT(TRUNC(40.5945), "0" &amp; CHAR(176) &amp; " ") &amp; TEXT(INT((ABS(40.5945)- INT(ABS(40.5945)))*60), "0' ") &amp; TEXT(((((ABS(40.5945)-INT(ABS(40.5945)))*60)- INT((ABS(40.5945) - INT(ABS(40.5945)))*60))*60), " 0''")</f>
        <v>40°c c35  40</v>
      </c>
      <c r="J656" t="str">
        <f ca="1">TEXT(TRUNC(-74.6244), "0" &amp; CHAR(176) &amp; " ") &amp; TEXT(INT((ABS(-74.6244)- INT(ABS(-74.6244)))*60), "0' ") &amp; TEXT(((((ABS(-74.6244)-INT(ABS(-74.6244)))*60)- INT((ABS(-74.6244) - INT(ABS(-74.6244)))*60))*60), " 0''")</f>
        <v>-74°c c37  28</v>
      </c>
    </row>
    <row r="657" spans="1:10">
      <c r="A657" t="s">
        <v>10</v>
      </c>
      <c r="B657" s="2">
        <v>1200</v>
      </c>
      <c r="C657" t="s">
        <v>11</v>
      </c>
      <c r="D657" t="s">
        <v>381</v>
      </c>
      <c r="E657" t="s">
        <v>215</v>
      </c>
      <c r="F657" t="s">
        <v>14</v>
      </c>
      <c r="G657" t="s">
        <v>15</v>
      </c>
      <c r="H657" s="3">
        <v>39836.647916666669</v>
      </c>
      <c r="I657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657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658" spans="1:10">
      <c r="A658" t="s">
        <v>10</v>
      </c>
      <c r="B658" s="2">
        <v>1200</v>
      </c>
      <c r="C658" t="s">
        <v>24</v>
      </c>
      <c r="D658" t="s">
        <v>1446</v>
      </c>
      <c r="E658" t="s">
        <v>385</v>
      </c>
      <c r="F658" t="s">
        <v>14</v>
      </c>
      <c r="G658" t="s">
        <v>15</v>
      </c>
      <c r="H658" s="3">
        <v>39836.651388888888</v>
      </c>
      <c r="I658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658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659" spans="1:10">
      <c r="A659" t="s">
        <v>10</v>
      </c>
      <c r="B659" s="2">
        <v>1200</v>
      </c>
      <c r="C659" t="s">
        <v>24</v>
      </c>
      <c r="D659" t="s">
        <v>518</v>
      </c>
      <c r="E659" t="s">
        <v>862</v>
      </c>
      <c r="F659" t="s">
        <v>113</v>
      </c>
      <c r="G659" t="s">
        <v>49</v>
      </c>
      <c r="H659" s="3">
        <v>39836.899305555555</v>
      </c>
      <c r="I659" t="str">
        <f ca="1">TEXT(TRUNC(-27.5), "0" &amp; CHAR(176) &amp; " ") &amp; TEXT(INT((ABS(-27.5)- INT(ABS(-27.5)))*60), "0' ") &amp; TEXT(((((ABS(-27.5)-INT(ABS(-27.5)))*60)- INT((ABS(-27.5) - INT(ABS(-27.5)))*60))*60), " 0''")</f>
        <v>-27°c c30  0</v>
      </c>
      <c r="J659" t="str">
        <f ca="1">TEXT(TRUNC(153.0166667), "0" &amp; CHAR(176) &amp; " ") &amp; TEXT(INT((ABS(153.0166667)- INT(ABS(153.0166667)))*60), "0' ") &amp; TEXT(((((ABS(153.0166667)-INT(ABS(153.0166667)))*60)- INT((ABS(153.0166667) - INT(ABS(153.0166667)))*60))*60), " 0''")</f>
        <v>153°c c1  0</v>
      </c>
    </row>
    <row r="660" spans="1:10">
      <c r="A660" t="s">
        <v>10</v>
      </c>
      <c r="B660" s="2">
        <v>1200</v>
      </c>
      <c r="C660" t="s">
        <v>24</v>
      </c>
      <c r="D660" t="s">
        <v>969</v>
      </c>
      <c r="E660" t="s">
        <v>1449</v>
      </c>
      <c r="F660" t="s">
        <v>400</v>
      </c>
      <c r="G660" t="s">
        <v>15</v>
      </c>
      <c r="H660" s="3">
        <v>39836.90347222222</v>
      </c>
      <c r="I660" t="str">
        <f ca="1">TEXT(TRUNC(42.45944), "0" &amp; CHAR(176) &amp; " ") &amp; TEXT(INT((ABS(42.45944)- INT(ABS(42.45944)))*60), "0' ") &amp; TEXT(((((ABS(42.45944)-INT(ABS(42.45944)))*60)- INT((ABS(42.45944) - INT(ABS(42.45944)))*60))*60), " 0''")</f>
        <v>42°c c27  34</v>
      </c>
      <c r="J660" t="str">
        <f ca="1">TEXT(TRUNC(-83.18278), "0" &amp; CHAR(176) &amp; " ") &amp; TEXT(INT((ABS(-83.18278)- INT(ABS(-83.18278)))*60), "0' ") &amp; TEXT(((((ABS(-83.18278)-INT(ABS(-83.18278)))*60)- INT((ABS(-83.18278) - INT(ABS(-83.18278)))*60))*60), " 0''")</f>
        <v>-83°c c10  58</v>
      </c>
    </row>
    <row r="661" spans="1:10">
      <c r="A661" t="s">
        <v>10</v>
      </c>
      <c r="B661" s="2">
        <v>1200</v>
      </c>
      <c r="C661" t="s">
        <v>11</v>
      </c>
      <c r="D661" t="s">
        <v>1011</v>
      </c>
      <c r="E661" t="s">
        <v>1450</v>
      </c>
      <c r="F661" t="s">
        <v>1450</v>
      </c>
      <c r="G661" t="s">
        <v>1451</v>
      </c>
      <c r="H661" s="3">
        <v>39836.929861111108</v>
      </c>
      <c r="I661" t="str">
        <f ca="1">TEXT(TRUNC(3.1666667), "0" &amp; CHAR(176) &amp; " ") &amp; TEXT(INT((ABS(3.1666667)- INT(ABS(3.1666667)))*60), "0' ") &amp; TEXT(((((ABS(3.1666667)-INT(ABS(3.1666667)))*60)- INT((ABS(3.1666667) - INT(ABS(3.1666667)))*60))*60), " 0''")</f>
        <v>3°c c10  0</v>
      </c>
      <c r="J661" t="str">
        <f ca="1">TEXT(TRUNC(101.7), "0" &amp; CHAR(176) &amp; " ") &amp; TEXT(INT((ABS(101.7)- INT(ABS(101.7)))*60), "0' ") &amp; TEXT(((((ABS(101.7)-INT(ABS(101.7)))*60)- INT((ABS(101.7) - INT(ABS(101.7)))*60))*60), " 0''")</f>
        <v>101°c c42  0</v>
      </c>
    </row>
    <row r="662" spans="1:10">
      <c r="A662" t="s">
        <v>10</v>
      </c>
      <c r="B662" s="2">
        <v>1200</v>
      </c>
      <c r="C662" t="s">
        <v>24</v>
      </c>
      <c r="D662" t="s">
        <v>1452</v>
      </c>
      <c r="E662" t="s">
        <v>1453</v>
      </c>
      <c r="F662" t="s">
        <v>1454</v>
      </c>
      <c r="G662" t="s">
        <v>42</v>
      </c>
      <c r="H662" s="3">
        <v>39837.056944444441</v>
      </c>
      <c r="I662" t="str">
        <f ca="1">TEXT(TRUNC(41.9), "0" &amp; CHAR(176) &amp; " ") &amp; TEXT(INT((ABS(41.9)- INT(ABS(41.9)))*60), "0' ") &amp; TEXT(((((ABS(41.9)-INT(ABS(41.9)))*60)- INT((ABS(41.9) - INT(ABS(41.9)))*60))*60), " 0''")</f>
        <v>41°c c53  60</v>
      </c>
      <c r="J662" t="str">
        <f ca="1">TEXT(TRUNC(12.4833333), "0" &amp; CHAR(176) &amp; " ") &amp; TEXT(INT((ABS(12.4833333)- INT(ABS(12.4833333)))*60), "0' ") &amp; TEXT(((((ABS(12.4833333)-INT(ABS(12.4833333)))*60)- INT((ABS(12.4833333) - INT(ABS(12.4833333)))*60))*60), " 0''")</f>
        <v>12°c c28  60</v>
      </c>
    </row>
    <row r="663" spans="1:10">
      <c r="A663" t="s">
        <v>10</v>
      </c>
      <c r="B663" s="2">
        <v>1200</v>
      </c>
      <c r="C663" t="s">
        <v>24</v>
      </c>
      <c r="D663" t="s">
        <v>994</v>
      </c>
      <c r="E663" t="s">
        <v>1455</v>
      </c>
      <c r="F663" t="s">
        <v>1456</v>
      </c>
      <c r="G663" t="s">
        <v>49</v>
      </c>
      <c r="H663" s="3">
        <v>39837.142361111109</v>
      </c>
      <c r="I663" t="str">
        <f ca="1">TEXT(TRUNC(-34.6166667), "0" &amp; CHAR(176) &amp; " ") &amp; TEXT(INT((ABS(-34.6166667)- INT(ABS(-34.6166667)))*60), "0' ") &amp; TEXT(((((ABS(-34.6166667)-INT(ABS(-34.6166667)))*60)- INT((ABS(-34.6166667) - INT(ABS(-34.6166667)))*60))*60), " 0''")</f>
        <v>-34°c c37  0</v>
      </c>
      <c r="J663" t="str">
        <f ca="1">TEXT(TRUNC(138.8833333), "0" &amp; CHAR(176) &amp; " ") &amp; TEXT(INT((ABS(138.8833333)- INT(ABS(138.8833333)))*60), "0' ") &amp; TEXT(((((ABS(138.8833333)-INT(ABS(138.8833333)))*60)- INT((ABS(138.8833333) - INT(ABS(138.8833333)))*60))*60), " 0''")</f>
        <v>138°c c52  60</v>
      </c>
    </row>
    <row r="664" spans="1:10">
      <c r="A664" t="s">
        <v>10</v>
      </c>
      <c r="B664" s="2">
        <v>1200</v>
      </c>
      <c r="C664" t="s">
        <v>24</v>
      </c>
      <c r="D664" t="s">
        <v>117</v>
      </c>
      <c r="E664" t="s">
        <v>1457</v>
      </c>
      <c r="F664" t="s">
        <v>1458</v>
      </c>
      <c r="G664" t="s">
        <v>19</v>
      </c>
      <c r="H664" s="3">
        <v>39837.15</v>
      </c>
      <c r="I664" t="str">
        <f ca="1">TEXT(TRUNC(55.6666667), "0" &amp; CHAR(176) &amp; " ") &amp; TEXT(INT((ABS(55.6666667)- INT(ABS(55.6666667)))*60), "0' ") &amp; TEXT(((((ABS(55.6666667)-INT(ABS(55.6666667)))*60)- INT((ABS(55.6666667) - INT(ABS(55.6666667)))*60))*60), " 0''")</f>
        <v>55°c c40  0</v>
      </c>
      <c r="J664" t="str">
        <f ca="1">TEXT(TRUNC(12.5833333), "0" &amp; CHAR(176) &amp; " ") &amp; TEXT(INT((ABS(12.5833333)- INT(ABS(12.5833333)))*60), "0' ") &amp; TEXT(((((ABS(12.5833333)-INT(ABS(12.5833333)))*60)- INT((ABS(12.5833333) - INT(ABS(12.5833333)))*60))*60), " 0''")</f>
        <v>12°c c34  60</v>
      </c>
    </row>
    <row r="665" spans="1:10">
      <c r="A665" t="s">
        <v>10</v>
      </c>
      <c r="B665" s="2">
        <v>1200</v>
      </c>
      <c r="C665" t="s">
        <v>24</v>
      </c>
      <c r="D665" t="s">
        <v>1459</v>
      </c>
      <c r="E665" t="s">
        <v>1460</v>
      </c>
      <c r="F665" t="s">
        <v>53</v>
      </c>
      <c r="G665" t="s">
        <v>54</v>
      </c>
      <c r="H665" s="3">
        <v>39837.167361111111</v>
      </c>
      <c r="I665" t="str">
        <f ca="1">TEXT(TRUNC(51.9166667), "0" &amp; CHAR(176) &amp; " ") &amp; TEXT(INT((ABS(51.9166667)- INT(ABS(51.9166667)))*60), "0' ") &amp; TEXT(((((ABS(51.9166667)-INT(ABS(51.9166667)))*60)- INT((ABS(51.9166667) - INT(ABS(51.9166667)))*60))*60), " 0''")</f>
        <v>51°c c55  0</v>
      </c>
      <c r="J665" t="str">
        <f ca="1">TEXT(TRUNC(-0.65), "0" &amp; CHAR(176) &amp; " ") &amp; TEXT(INT((ABS(-0.65)- INT(ABS(-0.65)))*60), "0' ") &amp; TEXT(((((ABS(-0.65)-INT(ABS(-0.65)))*60)- INT((ABS(-0.65) - INT(ABS(-0.65)))*60))*60), " 0''")</f>
        <v>0°c c39  0</v>
      </c>
    </row>
    <row r="666" spans="1:10">
      <c r="A666" t="s">
        <v>10</v>
      </c>
      <c r="B666" s="2">
        <v>1200</v>
      </c>
      <c r="C666" t="s">
        <v>11</v>
      </c>
      <c r="D666" t="s">
        <v>1461</v>
      </c>
      <c r="E666" t="s">
        <v>1462</v>
      </c>
      <c r="F666" t="s">
        <v>152</v>
      </c>
      <c r="G666" t="s">
        <v>15</v>
      </c>
      <c r="H666" s="3">
        <v>39837.301388888889</v>
      </c>
      <c r="I666" t="str">
        <f ca="1">TEXT(TRUNC(37.20556), "0" &amp; CHAR(176) &amp; " ") &amp; TEXT(INT((ABS(37.20556)- INT(ABS(37.20556)))*60), "0' ") &amp; TEXT(((((ABS(37.20556)-INT(ABS(37.20556)))*60)- INT((ABS(37.20556) - INT(ABS(37.20556)))*60))*60), " 0''")</f>
        <v>37°c c12  20</v>
      </c>
      <c r="J666" t="str">
        <f ca="1">TEXT(TRUNC(-80.03778), "0" &amp; CHAR(176) &amp; " ") &amp; TEXT(INT((ABS(-80.03778)- INT(ABS(-80.03778)))*60), "0' ") &amp; TEXT(((((ABS(-80.03778)-INT(ABS(-80.03778)))*60)- INT((ABS(-80.03778) - INT(ABS(-80.03778)))*60))*60), " 0''")</f>
        <v>-80°c c2  16</v>
      </c>
    </row>
    <row r="667" spans="1:10">
      <c r="A667" t="s">
        <v>10</v>
      </c>
      <c r="B667" s="2">
        <v>1200</v>
      </c>
      <c r="C667" t="s">
        <v>11</v>
      </c>
      <c r="D667" t="s">
        <v>1464</v>
      </c>
      <c r="E667" t="s">
        <v>1465</v>
      </c>
      <c r="F667" t="s">
        <v>436</v>
      </c>
      <c r="G667" t="s">
        <v>437</v>
      </c>
      <c r="H667" s="3">
        <v>39837.347916666666</v>
      </c>
      <c r="I667" t="str">
        <f ca="1">TEXT(TRUNC(48.25), "0" &amp; CHAR(176) &amp; " ") &amp; TEXT(INT((ABS(48.25)- INT(ABS(48.25)))*60), "0' ") &amp; TEXT(((((ABS(48.25)-INT(ABS(48.25)))*60)- INT((ABS(48.25) - INT(ABS(48.25)))*60))*60), " 0''")</f>
        <v>48°c c15  0</v>
      </c>
      <c r="J667" t="str">
        <f ca="1">TEXT(TRUNC(16.3), "0" &amp; CHAR(176) &amp; " ") &amp; TEXT(INT((ABS(16.3)- INT(ABS(16.3)))*60), "0' ") &amp; TEXT(((((ABS(16.3)-INT(ABS(16.3)))*60)- INT((ABS(16.3) - INT(ABS(16.3)))*60))*60), " 0''")</f>
        <v>16°c c18  0</v>
      </c>
    </row>
    <row r="668" spans="1:10">
      <c r="A668" t="s">
        <v>10</v>
      </c>
      <c r="B668" s="2">
        <v>1200</v>
      </c>
      <c r="C668" t="s">
        <v>11</v>
      </c>
      <c r="D668" t="s">
        <v>1466</v>
      </c>
      <c r="E668" t="s">
        <v>1465</v>
      </c>
      <c r="F668" t="s">
        <v>436</v>
      </c>
      <c r="G668" t="s">
        <v>437</v>
      </c>
      <c r="H668" s="3">
        <v>39837.350694444445</v>
      </c>
      <c r="I668" t="str">
        <f ca="1">TEXT(TRUNC(48.25), "0" &amp; CHAR(176) &amp; " ") &amp; TEXT(INT((ABS(48.25)- INT(ABS(48.25)))*60), "0' ") &amp; TEXT(((((ABS(48.25)-INT(ABS(48.25)))*60)- INT((ABS(48.25) - INT(ABS(48.25)))*60))*60), " 0''")</f>
        <v>48°c c15  0</v>
      </c>
      <c r="J668" t="str">
        <f ca="1">TEXT(TRUNC(16.3), "0" &amp; CHAR(176) &amp; " ") &amp; TEXT(INT((ABS(16.3)- INT(ABS(16.3)))*60), "0' ") &amp; TEXT(((((ABS(16.3)-INT(ABS(16.3)))*60)- INT((ABS(16.3) - INT(ABS(16.3)))*60))*60), " 0''")</f>
        <v>16°c c18  0</v>
      </c>
    </row>
    <row r="669" spans="1:10">
      <c r="A669" t="s">
        <v>10</v>
      </c>
      <c r="B669" s="2">
        <v>1200</v>
      </c>
      <c r="C669" t="s">
        <v>24</v>
      </c>
      <c r="D669" t="s">
        <v>366</v>
      </c>
      <c r="E669" t="s">
        <v>1467</v>
      </c>
      <c r="F669" t="s">
        <v>580</v>
      </c>
      <c r="G669" t="s">
        <v>15</v>
      </c>
      <c r="H669" s="3">
        <v>39837.364583333336</v>
      </c>
      <c r="I669" t="str">
        <f ca="1">TEXT(TRUNC(41.03333), "0" &amp; CHAR(176) &amp; " ") &amp; TEXT(INT((ABS(41.03333)- INT(ABS(41.03333)))*60), "0' ") &amp; TEXT(((((ABS(41.03333)-INT(ABS(41.03333)))*60)- INT((ABS(41.03333) - INT(ABS(41.03333)))*60))*60), " 0''")</f>
        <v>41°c c1  60</v>
      </c>
      <c r="J669" t="str">
        <f ca="1">TEXT(TRUNC(-73.6), "0" &amp; CHAR(176) &amp; " ") &amp; TEXT(INT((ABS(-73.6)- INT(ABS(-73.6)))*60), "0' ") &amp; TEXT(((((ABS(-73.6)-INT(ABS(-73.6)))*60)- INT((ABS(-73.6) - INT(ABS(-73.6)))*60))*60), " 0''")</f>
        <v>-73°c c35  60</v>
      </c>
    </row>
    <row r="670" spans="1:10">
      <c r="A670" t="s">
        <v>10</v>
      </c>
      <c r="B670" s="2">
        <v>1200</v>
      </c>
      <c r="C670" t="s">
        <v>11</v>
      </c>
      <c r="D670" t="s">
        <v>1468</v>
      </c>
      <c r="E670" t="s">
        <v>1469</v>
      </c>
      <c r="F670" t="s">
        <v>1470</v>
      </c>
      <c r="G670" t="s">
        <v>1121</v>
      </c>
      <c r="H670" s="3">
        <v>39837.36875</v>
      </c>
      <c r="I670" t="str">
        <f ca="1">TEXT(TRUNC(6.1036111), "0" &amp; CHAR(176) &amp; " ") &amp; TEXT(INT((ABS(6.1036111)- INT(ABS(6.1036111)))*60), "0' ") &amp; TEXT(((((ABS(6.1036111)-INT(ABS(6.1036111)))*60)- INT((ABS(6.1036111) - INT(ABS(6.1036111)))*60))*60), " 0''")</f>
        <v>6°c c6  13</v>
      </c>
      <c r="J670" t="str">
        <f ca="1">TEXT(TRUNC(125.2163889), "0" &amp; CHAR(176) &amp; " ") &amp; TEXT(INT((ABS(125.2163889)- INT(ABS(125.2163889)))*60), "0' ") &amp; TEXT(((((ABS(125.2163889)-INT(ABS(125.2163889)))*60)- INT((ABS(125.2163889) - INT(ABS(125.2163889)))*60))*60), " 0''")</f>
        <v>125°c c12  59</v>
      </c>
    </row>
    <row r="671" spans="1:10">
      <c r="A671" t="s">
        <v>10</v>
      </c>
      <c r="B671" s="2">
        <v>1200</v>
      </c>
      <c r="C671" t="s">
        <v>24</v>
      </c>
      <c r="D671" t="s">
        <v>46</v>
      </c>
      <c r="E671" t="s">
        <v>1471</v>
      </c>
      <c r="F671" t="s">
        <v>1471</v>
      </c>
      <c r="G671" t="s">
        <v>75</v>
      </c>
      <c r="H671" s="3">
        <v>39837.395833333336</v>
      </c>
      <c r="I671" t="str">
        <f ca="1">TEXT(TRUNC(47), "0" &amp; CHAR(176) &amp; " ") &amp; TEXT(INT((ABS(47)- INT(ABS(47)))*60), "0' ") &amp; TEXT(((((ABS(47)-INT(ABS(47)))*60)- INT((ABS(47) - INT(ABS(47)))*60))*60), " 0''")</f>
        <v>47°c c0  0</v>
      </c>
      <c r="J671" t="str">
        <f ca="1">TEXT(TRUNC(6.9666667), "0" &amp; CHAR(176) &amp; " ") &amp; TEXT(INT((ABS(6.9666667)- INT(ABS(6.9666667)))*60), "0' ") &amp; TEXT(((((ABS(6.9666667)-INT(ABS(6.9666667)))*60)- INT((ABS(6.9666667) - INT(ABS(6.9666667)))*60))*60), " 0''")</f>
        <v>6°c c58  0</v>
      </c>
    </row>
    <row r="672" spans="1:10">
      <c r="A672" t="s">
        <v>10</v>
      </c>
      <c r="B672" s="2">
        <v>1200</v>
      </c>
      <c r="C672" t="s">
        <v>24</v>
      </c>
      <c r="D672" t="s">
        <v>1472</v>
      </c>
      <c r="E672" t="s">
        <v>1056</v>
      </c>
      <c r="F672" t="s">
        <v>53</v>
      </c>
      <c r="G672" t="s">
        <v>54</v>
      </c>
      <c r="H672" s="3">
        <v>39837.432638888888</v>
      </c>
      <c r="I672" t="str">
        <f ca="1">TEXT(TRUNC(53.9666667), "0" &amp; CHAR(176) &amp; " ") &amp; TEXT(INT((ABS(53.9666667)- INT(ABS(53.9666667)))*60), "0' ") &amp; TEXT(((((ABS(53.9666667)-INT(ABS(53.9666667)))*60)- INT((ABS(53.9666667) - INT(ABS(53.9666667)))*60))*60), " 0''")</f>
        <v>53°c c58  0</v>
      </c>
      <c r="J672" t="str">
        <f ca="1">TEXT(TRUNC(-1.0833333), "0" &amp; CHAR(176) &amp; " ") &amp; TEXT(INT((ABS(-1.0833333)- INT(ABS(-1.0833333)))*60), "0' ") &amp; TEXT(((((ABS(-1.0833333)-INT(ABS(-1.0833333)))*60)- INT((ABS(-1.0833333) - INT(ABS(-1.0833333)))*60))*60), " 0''")</f>
        <v>-1°c c4  60</v>
      </c>
    </row>
    <row r="673" spans="1:10">
      <c r="A673" t="s">
        <v>10</v>
      </c>
      <c r="B673" s="2">
        <v>1200</v>
      </c>
      <c r="C673" t="s">
        <v>24</v>
      </c>
      <c r="D673" t="s">
        <v>1473</v>
      </c>
      <c r="E673" t="s">
        <v>1474</v>
      </c>
      <c r="F673" t="s">
        <v>1475</v>
      </c>
      <c r="G673" t="s">
        <v>1014</v>
      </c>
      <c r="H673" s="3">
        <v>39837.43472222222</v>
      </c>
      <c r="I673" t="str">
        <f ca="1">TEXT(TRUNC(-30.0333333), "0" &amp; CHAR(176) &amp; " ") &amp; TEXT(INT((ABS(-30.0333333)- INT(ABS(-30.0333333)))*60), "0' ") &amp; TEXT(((((ABS(-30.0333333)-INT(ABS(-30.0333333)))*60)- INT((ABS(-30.0333333) - INT(ABS(-30.0333333)))*60))*60), " 0''")</f>
        <v>-30°c c1  60</v>
      </c>
      <c r="J673" t="str">
        <f ca="1">TEXT(TRUNC(-51.2), "0" &amp; CHAR(176) &amp; " ") &amp; TEXT(INT((ABS(-51.2)- INT(ABS(-51.2)))*60), "0' ") &amp; TEXT(((((ABS(-51.2)-INT(ABS(-51.2)))*60)- INT((ABS(-51.2) - INT(ABS(-51.2)))*60))*60), " 0''")</f>
        <v>-51°c c12  0</v>
      </c>
    </row>
    <row r="674" spans="1:10">
      <c r="A674" t="s">
        <v>10</v>
      </c>
      <c r="B674" s="2">
        <v>1200</v>
      </c>
      <c r="C674" t="s">
        <v>24</v>
      </c>
      <c r="D674" t="s">
        <v>1476</v>
      </c>
      <c r="E674" t="s">
        <v>413</v>
      </c>
      <c r="F674" t="s">
        <v>152</v>
      </c>
      <c r="G674" t="s">
        <v>15</v>
      </c>
      <c r="H674" s="3">
        <v>39837.443055555559</v>
      </c>
      <c r="I674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674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675" spans="1:10">
      <c r="A675" t="s">
        <v>10</v>
      </c>
      <c r="B675" s="2">
        <v>1200</v>
      </c>
      <c r="C675" t="s">
        <v>24</v>
      </c>
      <c r="D675" t="s">
        <v>1477</v>
      </c>
      <c r="E675" t="s">
        <v>1478</v>
      </c>
      <c r="F675" t="s">
        <v>476</v>
      </c>
      <c r="G675" t="s">
        <v>15</v>
      </c>
      <c r="H675" s="3">
        <v>39837.461805555555</v>
      </c>
      <c r="I675" t="str">
        <f ca="1">TEXT(TRUNC(33.94111), "0" &amp; CHAR(176) &amp; " ") &amp; TEXT(INT((ABS(33.94111)- INT(ABS(33.94111)))*60), "0' ") &amp; TEXT(((((ABS(33.94111)-INT(ABS(33.94111)))*60)- INT((ABS(33.94111) - INT(ABS(33.94111)))*60))*60), " 0''")</f>
        <v>33°c c56  28</v>
      </c>
      <c r="J675" t="str">
        <f ca="1">TEXT(TRUNC(-84.21361), "0" &amp; CHAR(176) &amp; " ") &amp; TEXT(INT((ABS(-84.21361)- INT(ABS(-84.21361)))*60), "0' ") &amp; TEXT(((((ABS(-84.21361)-INT(ABS(-84.21361)))*60)- INT((ABS(-84.21361) - INT(ABS(-84.21361)))*60))*60), " 0''")</f>
        <v>-84°c c12  49</v>
      </c>
    </row>
    <row r="676" spans="1:10">
      <c r="A676" t="s">
        <v>10</v>
      </c>
      <c r="B676" s="2">
        <v>1200</v>
      </c>
      <c r="C676" t="s">
        <v>24</v>
      </c>
      <c r="D676" t="s">
        <v>1479</v>
      </c>
      <c r="E676" t="s">
        <v>550</v>
      </c>
      <c r="F676" t="s">
        <v>507</v>
      </c>
      <c r="G676" t="s">
        <v>480</v>
      </c>
      <c r="H676" s="3">
        <v>39837.495833333334</v>
      </c>
      <c r="I676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676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677" spans="1:10">
      <c r="A677" t="s">
        <v>10</v>
      </c>
      <c r="B677" s="2">
        <v>1200</v>
      </c>
      <c r="C677" t="s">
        <v>24</v>
      </c>
      <c r="D677" t="s">
        <v>381</v>
      </c>
      <c r="E677" t="s">
        <v>1480</v>
      </c>
      <c r="F677" t="s">
        <v>709</v>
      </c>
      <c r="G677" t="s">
        <v>159</v>
      </c>
      <c r="H677" s="3">
        <v>39837.5</v>
      </c>
      <c r="I677" t="str">
        <f ca="1">TEXT(TRUNC(40.5833333), "0" &amp; CHAR(176) &amp; " ") &amp; TEXT(INT((ABS(40.5833333)- INT(ABS(40.5833333)))*60), "0' ") &amp; TEXT(((((ABS(40.5833333)-INT(ABS(40.5833333)))*60)- INT((ABS(40.5833333) - INT(ABS(40.5833333)))*60))*60), " 0''")</f>
        <v>40°c c34  60</v>
      </c>
      <c r="J677" t="str">
        <f ca="1">TEXT(TRUNC(-4.1166667), "0" &amp; CHAR(176) &amp; " ") &amp; TEXT(INT((ABS(-4.1166667)- INT(ABS(-4.1166667)))*60), "0' ") &amp; TEXT(((((ABS(-4.1166667)-INT(ABS(-4.1166667)))*60)- INT((ABS(-4.1166667) - INT(ABS(-4.1166667)))*60))*60), " 0''")</f>
        <v>-4°c c7  0</v>
      </c>
    </row>
    <row r="678" spans="1:10">
      <c r="A678" t="s">
        <v>10</v>
      </c>
      <c r="B678" s="2">
        <v>1200</v>
      </c>
      <c r="C678" t="s">
        <v>24</v>
      </c>
      <c r="D678" t="s">
        <v>1481</v>
      </c>
      <c r="E678" t="s">
        <v>1272</v>
      </c>
      <c r="F678" t="s">
        <v>14</v>
      </c>
      <c r="G678" t="s">
        <v>15</v>
      </c>
      <c r="H678" s="3">
        <v>39837.529861111114</v>
      </c>
      <c r="I678" t="str">
        <f ca="1">TEXT(TRUNC(41.25639), "0" &amp; CHAR(176) &amp; " ") &amp; TEXT(INT((ABS(41.25639)- INT(ABS(41.25639)))*60), "0' ") &amp; TEXT(((((ABS(41.25639)-INT(ABS(41.25639)))*60)- INT((ABS(41.25639) - INT(ABS(41.25639)))*60))*60), " 0''")</f>
        <v>41°c c15  23</v>
      </c>
      <c r="J678" t="str">
        <f ca="1">TEXT(TRUNC(-74.36028), "0" &amp; CHAR(176) &amp; " ") &amp; TEXT(INT((ABS(-74.36028)- INT(ABS(-74.36028)))*60), "0' ") &amp; TEXT(((((ABS(-74.36028)-INT(ABS(-74.36028)))*60)- INT((ABS(-74.36028) - INT(ABS(-74.36028)))*60))*60), " 0''")</f>
        <v>-74°c c21  37</v>
      </c>
    </row>
    <row r="679" spans="1:10">
      <c r="A679" t="s">
        <v>10</v>
      </c>
      <c r="B679" s="2">
        <v>1200</v>
      </c>
      <c r="C679" t="s">
        <v>24</v>
      </c>
      <c r="D679" t="s">
        <v>1473</v>
      </c>
      <c r="E679" t="s">
        <v>1482</v>
      </c>
      <c r="F679" t="s">
        <v>304</v>
      </c>
      <c r="G679" t="s">
        <v>81</v>
      </c>
      <c r="H679" s="3">
        <v>39837.538888888892</v>
      </c>
      <c r="I679" t="str">
        <f ca="1">TEXT(TRUNC(45.5333333), "0" &amp; CHAR(176) &amp; " ") &amp; TEXT(INT((ABS(45.5333333)- INT(ABS(45.5333333)))*60), "0' ") &amp; TEXT(((((ABS(45.5333333)-INT(ABS(45.5333333)))*60)- INT((ABS(45.5333333) - INT(ABS(45.5333333)))*60))*60), " 0''")</f>
        <v>45°c c31  60</v>
      </c>
      <c r="J679" t="str">
        <f ca="1">TEXT(TRUNC(-73.7166667), "0" &amp; CHAR(176) &amp; " ") &amp; TEXT(INT((ABS(-73.7166667)- INT(ABS(-73.7166667)))*60), "0' ") &amp; TEXT(((((ABS(-73.7166667)-INT(ABS(-73.7166667)))*60)- INT((ABS(-73.7166667) - INT(ABS(-73.7166667)))*60))*60), " 0''")</f>
        <v>-73°c c43  0</v>
      </c>
    </row>
    <row r="680" spans="1:10">
      <c r="A680" t="s">
        <v>10</v>
      </c>
      <c r="B680" s="2">
        <v>1200</v>
      </c>
      <c r="C680" t="s">
        <v>24</v>
      </c>
      <c r="D680" t="s">
        <v>1483</v>
      </c>
      <c r="E680" t="s">
        <v>1484</v>
      </c>
      <c r="F680" t="s">
        <v>405</v>
      </c>
      <c r="G680" t="s">
        <v>15</v>
      </c>
      <c r="H680" s="3">
        <v>39837.565972222219</v>
      </c>
      <c r="I680" t="str">
        <f ca="1">TEXT(TRUNC(44.78944), "0" &amp; CHAR(176) &amp; " ") &amp; TEXT(INT((ABS(44.78944)- INT(ABS(44.78944)))*60), "0' ") &amp; TEXT(((((ABS(44.78944)-INT(ABS(44.78944)))*60)- INT((ABS(44.78944) - INT(ABS(44.78944)))*60))*60), " 0''")</f>
        <v>44°c c47  22</v>
      </c>
      <c r="J680" t="str">
        <f ca="1">TEXT(TRUNC(-93.60194), "0" &amp; CHAR(176) &amp; " ") &amp; TEXT(INT((ABS(-93.60194)- INT(ABS(-93.60194)))*60), "0' ") &amp; TEXT(((((ABS(-93.60194)-INT(ABS(-93.60194)))*60)- INT((ABS(-93.60194) - INT(ABS(-93.60194)))*60))*60), " 0''")</f>
        <v>-93°c c36  7</v>
      </c>
    </row>
    <row r="681" spans="1:10">
      <c r="A681" t="s">
        <v>10</v>
      </c>
      <c r="B681" s="2">
        <v>1200</v>
      </c>
      <c r="C681" t="s">
        <v>11</v>
      </c>
      <c r="D681" t="s">
        <v>1293</v>
      </c>
      <c r="E681" t="s">
        <v>1485</v>
      </c>
      <c r="F681" t="s">
        <v>53</v>
      </c>
      <c r="G681" t="s">
        <v>54</v>
      </c>
      <c r="H681" s="3">
        <v>39837.568055555559</v>
      </c>
      <c r="I681" t="str">
        <f ca="1">TEXT(TRUNC(52.3833333), "0" &amp; CHAR(176) &amp; " ") &amp; TEXT(INT((ABS(52.3833333)- INT(ABS(52.3833333)))*60), "0' ") &amp; TEXT(((((ABS(52.3833333)-INT(ABS(52.3833333)))*60)- INT((ABS(52.3833333) - INT(ABS(52.3833333)))*60))*60), " 0''")</f>
        <v>52°c c22  60</v>
      </c>
      <c r="J681" t="str">
        <f ca="1">TEXT(TRUNC(-2.25), "0" &amp; CHAR(176) &amp; " ") &amp; TEXT(INT((ABS(-2.25)- INT(ABS(-2.25)))*60), "0' ") &amp; TEXT(((((ABS(-2.25)-INT(ABS(-2.25)))*60)- INT((ABS(-2.25) - INT(ABS(-2.25)))*60))*60), " 0''")</f>
        <v>-2°c c15  0</v>
      </c>
    </row>
    <row r="682" spans="1:10">
      <c r="A682" t="s">
        <v>10</v>
      </c>
      <c r="B682" s="2">
        <v>1200</v>
      </c>
      <c r="C682" t="s">
        <v>24</v>
      </c>
      <c r="D682" t="s">
        <v>1255</v>
      </c>
      <c r="E682" t="s">
        <v>1488</v>
      </c>
      <c r="F682" t="s">
        <v>95</v>
      </c>
      <c r="G682" t="s">
        <v>81</v>
      </c>
      <c r="H682" s="3">
        <v>39837.7125</v>
      </c>
      <c r="I682" t="str">
        <f ca="1">TEXT(TRUNC(43.1666667), "0" &amp; CHAR(176) &amp; " ") &amp; TEXT(INT((ABS(43.1666667)- INT(ABS(43.1666667)))*60), "0' ") &amp; TEXT(((((ABS(43.1666667)-INT(ABS(43.1666667)))*60)- INT((ABS(43.1666667) - INT(ABS(43.1666667)))*60))*60), " 0''")</f>
        <v>43°c c10  0</v>
      </c>
      <c r="J682" t="str">
        <f ca="1">TEXT(TRUNC(-79.2333333), "0" &amp; CHAR(176) &amp; " ") &amp; TEXT(INT((ABS(-79.2333333)- INT(ABS(-79.2333333)))*60), "0' ") &amp; TEXT(((((ABS(-79.2333333)-INT(ABS(-79.2333333)))*60)- INT((ABS(-79.2333333) - INT(ABS(-79.2333333)))*60))*60), " 0''")</f>
        <v>-79°c c13  60</v>
      </c>
    </row>
    <row r="683" spans="1:10">
      <c r="A683" t="s">
        <v>10</v>
      </c>
      <c r="B683" s="2">
        <v>1200</v>
      </c>
      <c r="C683" t="s">
        <v>24</v>
      </c>
      <c r="D683" t="s">
        <v>1334</v>
      </c>
      <c r="E683" t="s">
        <v>1491</v>
      </c>
      <c r="F683" t="s">
        <v>45</v>
      </c>
      <c r="G683" t="s">
        <v>15</v>
      </c>
      <c r="H683" s="3">
        <v>39837.751388888886</v>
      </c>
      <c r="I683" t="str">
        <f ca="1">TEXT(TRUNC(28.60056), "0" &amp; CHAR(176) &amp; " ") &amp; TEXT(INT((ABS(28.60056)- INT(ABS(28.60056)))*60), "0' ") &amp; TEXT(((((ABS(28.60056)-INT(ABS(28.60056)))*60)- INT((ABS(28.60056) - INT(ABS(28.60056)))*60))*60), " 0''")</f>
        <v>28°c c36  2</v>
      </c>
      <c r="J683" t="str">
        <f ca="1">TEXT(TRUNC(-81.30667), "0" &amp; CHAR(176) &amp; " ") &amp; TEXT(INT((ABS(-81.30667)- INT(ABS(-81.30667)))*60), "0' ") &amp; TEXT(((((ABS(-81.30667)-INT(ABS(-81.30667)))*60)- INT((ABS(-81.30667) - INT(ABS(-81.30667)))*60))*60), " 0''")</f>
        <v>-81°c c18  24</v>
      </c>
    </row>
    <row r="684" spans="1:10">
      <c r="A684" t="s">
        <v>10</v>
      </c>
      <c r="B684" s="2">
        <v>1200</v>
      </c>
      <c r="C684" t="s">
        <v>24</v>
      </c>
      <c r="D684" t="s">
        <v>1492</v>
      </c>
      <c r="E684" t="s">
        <v>461</v>
      </c>
      <c r="F684" t="s">
        <v>48</v>
      </c>
      <c r="G684" t="s">
        <v>49</v>
      </c>
      <c r="H684" s="3">
        <v>39837.770833333336</v>
      </c>
      <c r="I684" t="str">
        <f ca="1">TEXT(TRUNC(-37.8166667), "0" &amp; CHAR(176) &amp; " ") &amp; TEXT(INT((ABS(-37.8166667)- INT(ABS(-37.8166667)))*60), "0' ") &amp; TEXT(((((ABS(-37.8166667)-INT(ABS(-37.8166667)))*60)- INT((ABS(-37.8166667) - INT(ABS(-37.8166667)))*60))*60), " 0''")</f>
        <v>-37°c c49  0</v>
      </c>
      <c r="J684" t="str">
        <f ca="1">TEXT(TRUNC(144.9666667), "0" &amp; CHAR(176) &amp; " ") &amp; TEXT(INT((ABS(144.9666667)- INT(ABS(144.9666667)))*60), "0' ") &amp; TEXT(((((ABS(144.9666667)-INT(ABS(144.9666667)))*60)- INT((ABS(144.9666667) - INT(ABS(144.9666667)))*60))*60), " 0''")</f>
        <v>144°c c58  0</v>
      </c>
    </row>
    <row r="685" spans="1:10">
      <c r="A685" t="s">
        <v>10</v>
      </c>
      <c r="B685" s="2">
        <v>1200</v>
      </c>
      <c r="C685" t="s">
        <v>24</v>
      </c>
      <c r="D685" t="s">
        <v>1493</v>
      </c>
      <c r="E685" t="s">
        <v>1494</v>
      </c>
      <c r="F685" t="s">
        <v>57</v>
      </c>
      <c r="G685" t="s">
        <v>15</v>
      </c>
      <c r="H685" s="3">
        <v>39837.779861111114</v>
      </c>
      <c r="I685" t="str">
        <f ca="1">TEXT(TRUNC(33.76444), "0" &amp; CHAR(176) &amp; " ") &amp; TEXT(INT((ABS(33.76444)- INT(ABS(33.76444)))*60), "0' ") &amp; TEXT(((((ABS(33.76444)-INT(ABS(33.76444)))*60)- INT((ABS(33.76444) - INT(ABS(33.76444)))*60))*60), " 0''")</f>
        <v>33°c c45  52</v>
      </c>
      <c r="J685" t="str">
        <f ca="1">TEXT(TRUNC(-117.79306), "0" &amp; CHAR(176) &amp; " ") &amp; TEXT(INT((ABS(-117.79306)- INT(ABS(-117.79306)))*60), "0' ") &amp; TEXT(((((ABS(-117.79306)-INT(ABS(-117.79306)))*60)- INT((ABS(-117.79306) - INT(ABS(-117.79306)))*60))*60), " 0''")</f>
        <v>-117°c c47  35</v>
      </c>
    </row>
    <row r="686" spans="1:10">
      <c r="A686" t="s">
        <v>10</v>
      </c>
      <c r="B686" s="2">
        <v>1200</v>
      </c>
      <c r="C686" t="s">
        <v>24</v>
      </c>
      <c r="D686" t="s">
        <v>1495</v>
      </c>
      <c r="E686" t="s">
        <v>1496</v>
      </c>
      <c r="F686" t="s">
        <v>252</v>
      </c>
      <c r="G686" t="s">
        <v>81</v>
      </c>
      <c r="H686" s="3">
        <v>39837.873611111114</v>
      </c>
      <c r="I686" t="str">
        <f ca="1">TEXT(TRUNC(49.3166667), "0" &amp; CHAR(176) &amp; " ") &amp; TEXT(INT((ABS(49.3166667)- INT(ABS(49.3166667)))*60), "0' ") &amp; TEXT(((((ABS(49.3166667)-INT(ABS(49.3166667)))*60)- INT((ABS(49.3166667) - INT(ABS(49.3166667)))*60))*60), " 0''")</f>
        <v>49°c c19  0</v>
      </c>
      <c r="J686" t="str">
        <f ca="1">TEXT(TRUNC(-123.0666667), "0" &amp; CHAR(176) &amp; " ") &amp; TEXT(INT((ABS(-123.0666667)- INT(ABS(-123.0666667)))*60), "0' ") &amp; TEXT(((((ABS(-123.0666667)-INT(ABS(-123.0666667)))*60)- INT((ABS(-123.0666667) - INT(ABS(-123.0666667)))*60))*60), " 0''")</f>
        <v>-123°c c4  0</v>
      </c>
    </row>
    <row r="687" spans="1:10">
      <c r="A687" t="s">
        <v>10</v>
      </c>
      <c r="B687" s="2">
        <v>1200</v>
      </c>
      <c r="C687" t="s">
        <v>24</v>
      </c>
      <c r="D687" t="s">
        <v>1497</v>
      </c>
      <c r="E687" t="s">
        <v>1498</v>
      </c>
      <c r="F687" t="s">
        <v>98</v>
      </c>
      <c r="G687" t="s">
        <v>15</v>
      </c>
      <c r="H687" s="3">
        <v>39837.893055555556</v>
      </c>
      <c r="I687" t="str">
        <f ca="1">TEXT(TRUNC(41.86611), "0" &amp; CHAR(176) &amp; " ") &amp; TEXT(INT((ABS(41.86611)- INT(ABS(41.86611)))*60), "0' ") &amp; TEXT(((((ABS(41.86611)-INT(ABS(41.86611)))*60)- INT((ABS(41.86611) - INT(ABS(41.86611)))*60))*60), " 0''")</f>
        <v>41°c c51  58</v>
      </c>
      <c r="J687" t="str">
        <f ca="1">TEXT(TRUNC(-88.10694), "0" &amp; CHAR(176) &amp; " ") &amp; TEXT(INT((ABS(-88.10694)- INT(ABS(-88.10694)))*60), "0' ") &amp; TEXT(((((ABS(-88.10694)-INT(ABS(-88.10694)))*60)- INT((ABS(-88.10694) - INT(ABS(-88.10694)))*60))*60), " 0''")</f>
        <v>-88°c c6  25</v>
      </c>
    </row>
    <row r="688" spans="1:10">
      <c r="A688" t="s">
        <v>10</v>
      </c>
      <c r="B688" s="2">
        <v>1200</v>
      </c>
      <c r="C688" t="s">
        <v>24</v>
      </c>
      <c r="D688" t="s">
        <v>1499</v>
      </c>
      <c r="E688" t="s">
        <v>1500</v>
      </c>
      <c r="F688" t="s">
        <v>1500</v>
      </c>
      <c r="G688" t="s">
        <v>693</v>
      </c>
      <c r="H688" s="3">
        <v>39837.972916666666</v>
      </c>
      <c r="I688" t="str">
        <f ca="1">TEXT(TRUNC(7.8833333), "0" &amp; CHAR(176) &amp; " ") &amp; TEXT(INT((ABS(7.8833333)- INT(ABS(7.8833333)))*60), "0' ") &amp; TEXT(((((ABS(7.8833333)-INT(ABS(7.8833333)))*60)- INT((ABS(7.8833333) - INT(ABS(7.8833333)))*60))*60), " 0''")</f>
        <v>7°c c52  60</v>
      </c>
      <c r="J688" t="str">
        <f ca="1">TEXT(TRUNC(98.4), "0" &amp; CHAR(176) &amp; " ") &amp; TEXT(INT((ABS(98.4)- INT(ABS(98.4)))*60), "0' ") &amp; TEXT(((((ABS(98.4)-INT(ABS(98.4)))*60)- INT((ABS(98.4) - INT(ABS(98.4)))*60))*60), " 0''")</f>
        <v>98°c c24  0</v>
      </c>
    </row>
    <row r="689" spans="1:10">
      <c r="A689" t="s">
        <v>10</v>
      </c>
      <c r="B689" s="2">
        <v>1200</v>
      </c>
      <c r="C689" t="s">
        <v>24</v>
      </c>
      <c r="D689" t="s">
        <v>1501</v>
      </c>
      <c r="E689" t="s">
        <v>1502</v>
      </c>
      <c r="F689" t="s">
        <v>391</v>
      </c>
      <c r="G689" t="s">
        <v>15</v>
      </c>
      <c r="H689" s="3">
        <v>39838.00625</v>
      </c>
      <c r="I689" t="str">
        <f ca="1">TEXT(TRUNC(22.22361), "0" &amp; CHAR(176) &amp; " ") &amp; TEXT(INT((ABS(22.22361)- INT(ABS(22.22361)))*60), "0' ") &amp; TEXT(((((ABS(22.22361)-INT(ABS(22.22361)))*60)- INT((ABS(22.22361) - INT(ABS(22.22361)))*60))*60), " 0''")</f>
        <v>22°c c13  25</v>
      </c>
      <c r="J689" t="str">
        <f ca="1">TEXT(TRUNC(-159.48528), "0" &amp; CHAR(176) &amp; " ") &amp; TEXT(INT((ABS(-159.48528)- INT(ABS(-159.48528)))*60), "0' ") &amp; TEXT(((((ABS(-159.48528)-INT(ABS(-159.48528)))*60)- INT((ABS(-159.48528) - INT(ABS(-159.48528)))*60))*60), " 0''")</f>
        <v>-159°c c29  7</v>
      </c>
    </row>
    <row r="690" spans="1:10">
      <c r="A690" t="s">
        <v>10</v>
      </c>
      <c r="B690" s="2">
        <v>1200</v>
      </c>
      <c r="C690" t="s">
        <v>11</v>
      </c>
      <c r="D690" t="s">
        <v>1504</v>
      </c>
      <c r="E690" t="s">
        <v>38</v>
      </c>
      <c r="F690" t="s">
        <v>38</v>
      </c>
      <c r="G690" t="s">
        <v>31</v>
      </c>
      <c r="H690" s="3">
        <v>39838.19027777778</v>
      </c>
      <c r="I690" t="str">
        <f ca="1">TEXT(TRUNC(53.2166667), "0" &amp; CHAR(176) &amp; " ") &amp; TEXT(INT((ABS(53.2166667)- INT(ABS(53.2166667)))*60), "0' ") &amp; TEXT(((((ABS(53.2166667)-INT(ABS(53.2166667)))*60)- INT((ABS(53.2166667) - INT(ABS(53.2166667)))*60))*60), " 0''")</f>
        <v>53°c c13  0</v>
      </c>
      <c r="J690" t="str">
        <f ca="1">TEXT(TRUNC(6.55), "0" &amp; CHAR(176) &amp; " ") &amp; TEXT(INT((ABS(6.55)- INT(ABS(6.55)))*60), "0' ") &amp; TEXT(((((ABS(6.55)-INT(ABS(6.55)))*60)- INT((ABS(6.55) - INT(ABS(6.55)))*60))*60), " 0''")</f>
        <v>6°c c33  0</v>
      </c>
    </row>
    <row r="691" spans="1:10">
      <c r="A691" t="s">
        <v>10</v>
      </c>
      <c r="B691" s="2">
        <v>1200</v>
      </c>
      <c r="C691" t="s">
        <v>33</v>
      </c>
      <c r="D691" t="s">
        <v>1505</v>
      </c>
      <c r="E691" t="s">
        <v>1506</v>
      </c>
      <c r="F691" t="s">
        <v>1507</v>
      </c>
      <c r="G691" t="s">
        <v>1508</v>
      </c>
      <c r="H691" s="3">
        <v>39838.247916666667</v>
      </c>
      <c r="I691" t="str">
        <f ca="1">TEXT(TRUNC(-37.15), "0" &amp; CHAR(176) &amp; " ") &amp; TEXT(INT((ABS(-37.15)- INT(ABS(-37.15)))*60), "0' ") &amp; TEXT(((((ABS(-37.15)-INT(ABS(-37.15)))*60)- INT((ABS(-37.15) - INT(ABS(-37.15)))*60))*60), " 0''")</f>
        <v>-37°c c8  60</v>
      </c>
      <c r="J691" t="str">
        <f ca="1">TEXT(TRUNC(-58.4833333), "0" &amp; CHAR(176) &amp; " ") &amp; TEXT(INT((ABS(-58.4833333)- INT(ABS(-58.4833333)))*60), "0' ") &amp; TEXT(((((ABS(-58.4833333)-INT(ABS(-58.4833333)))*60)- INT((ABS(-58.4833333) - INT(ABS(-58.4833333)))*60))*60), " 0''")</f>
        <v>-58°c c28  60</v>
      </c>
    </row>
    <row r="692" spans="1:10">
      <c r="A692" t="s">
        <v>10</v>
      </c>
      <c r="B692" s="2">
        <v>1200</v>
      </c>
      <c r="C692" t="s">
        <v>50</v>
      </c>
      <c r="D692" t="s">
        <v>1509</v>
      </c>
      <c r="E692" t="s">
        <v>1510</v>
      </c>
      <c r="F692" t="s">
        <v>53</v>
      </c>
      <c r="G692" t="s">
        <v>54</v>
      </c>
      <c r="H692" s="3">
        <v>39838.311805555553</v>
      </c>
      <c r="I692" t="str">
        <f ca="1">TEXT(TRUNC(52.2), "0" &amp; CHAR(176) &amp; " ") &amp; TEXT(INT((ABS(52.2)- INT(ABS(52.2)))*60), "0' ") &amp; TEXT(((((ABS(52.2)-INT(ABS(52.2)))*60)- INT((ABS(52.2) - INT(ABS(52.2)))*60))*60), " 0''")</f>
        <v>52°c c12  0</v>
      </c>
      <c r="J692" t="str">
        <f ca="1">TEXT(TRUNC(-2.2), "0" &amp; CHAR(176) &amp; " ") &amp; TEXT(INT((ABS(-2.2)- INT(ABS(-2.2)))*60), "0' ") &amp; TEXT(((((ABS(-2.2)-INT(ABS(-2.2)))*60)- INT((ABS(-2.2) - INT(ABS(-2.2)))*60))*60), " 0''")</f>
        <v>-2°c c12  0</v>
      </c>
    </row>
    <row r="693" spans="1:10">
      <c r="A693" t="s">
        <v>10</v>
      </c>
      <c r="B693" s="2">
        <v>1200</v>
      </c>
      <c r="C693" t="s">
        <v>24</v>
      </c>
      <c r="D693" t="s">
        <v>1511</v>
      </c>
      <c r="E693" t="s">
        <v>1512</v>
      </c>
      <c r="F693" t="s">
        <v>95</v>
      </c>
      <c r="G693" t="s">
        <v>81</v>
      </c>
      <c r="H693" s="3">
        <v>39838.355555555558</v>
      </c>
      <c r="I693" t="str">
        <f ca="1">TEXT(TRUNC(50.0666667), "0" &amp; CHAR(176) &amp; " ") &amp; TEXT(INT((ABS(50.0666667)- INT(ABS(50.0666667)))*60), "0' ") &amp; TEXT(((((ABS(50.0666667)-INT(ABS(50.0666667)))*60)- INT((ABS(50.0666667) - INT(ABS(50.0666667)))*60))*60), " 0''")</f>
        <v>50°c c4  0</v>
      </c>
      <c r="J693" t="str">
        <f ca="1">TEXT(TRUNC(-91.75), "0" &amp; CHAR(176) &amp; " ") &amp; TEXT(INT((ABS(-91.75)- INT(ABS(-91.75)))*60), "0' ") &amp; TEXT(((((ABS(-91.75)-INT(ABS(-91.75)))*60)- INT((ABS(-91.75) - INT(ABS(-91.75)))*60))*60), " 0''")</f>
        <v>-91°c c45  0</v>
      </c>
    </row>
    <row r="694" spans="1:10">
      <c r="A694" t="s">
        <v>10</v>
      </c>
      <c r="B694" s="2">
        <v>1200</v>
      </c>
      <c r="C694" t="s">
        <v>11</v>
      </c>
      <c r="D694" t="s">
        <v>1513</v>
      </c>
      <c r="E694" t="s">
        <v>1020</v>
      </c>
      <c r="F694" t="s">
        <v>53</v>
      </c>
      <c r="G694" t="s">
        <v>54</v>
      </c>
      <c r="H694" s="3">
        <v>39838.366666666669</v>
      </c>
      <c r="I694" t="str">
        <f ca="1">TEXT(TRUNC(51.75), "0" &amp; CHAR(176) &amp; " ") &amp; TEXT(INT((ABS(51.75)- INT(ABS(51.75)))*60), "0' ") &amp; TEXT(((((ABS(51.75)-INT(ABS(51.75)))*60)- INT((ABS(51.75) - INT(ABS(51.75)))*60))*60), " 0''")</f>
        <v>51°c c45  0</v>
      </c>
      <c r="J694" t="str">
        <f ca="1">TEXT(TRUNC(-1.25), "0" &amp; CHAR(176) &amp; " ") &amp; TEXT(INT((ABS(-1.25)- INT(ABS(-1.25)))*60), "0' ") &amp; TEXT(((((ABS(-1.25)-INT(ABS(-1.25)))*60)- INT((ABS(-1.25) - INT(ABS(-1.25)))*60))*60), " 0''")</f>
        <v>-1°c c15  0</v>
      </c>
    </row>
    <row r="695" spans="1:10">
      <c r="A695" t="s">
        <v>10</v>
      </c>
      <c r="B695" s="2">
        <v>1200</v>
      </c>
      <c r="C695" t="s">
        <v>11</v>
      </c>
      <c r="D695" t="s">
        <v>1514</v>
      </c>
      <c r="E695" t="s">
        <v>394</v>
      </c>
      <c r="F695" t="s">
        <v>394</v>
      </c>
      <c r="G695" t="s">
        <v>75</v>
      </c>
      <c r="H695" s="3">
        <v>39838.368055555555</v>
      </c>
      <c r="I695" t="str">
        <f ca="1">TEXT(TRUNC(47.3666667), "0" &amp; CHAR(176) &amp; " ") &amp; TEXT(INT((ABS(47.3666667)- INT(ABS(47.3666667)))*60), "0' ") &amp; TEXT(((((ABS(47.3666667)-INT(ABS(47.3666667)))*60)- INT((ABS(47.3666667) - INT(ABS(47.3666667)))*60))*60), " 0''")</f>
        <v>47°c c22  0</v>
      </c>
      <c r="J695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696" spans="1:10">
      <c r="A696" t="s">
        <v>10</v>
      </c>
      <c r="B696" s="2">
        <v>1200</v>
      </c>
      <c r="C696" t="s">
        <v>33</v>
      </c>
      <c r="D696" t="s">
        <v>1515</v>
      </c>
      <c r="E696" t="s">
        <v>1516</v>
      </c>
      <c r="F696" t="s">
        <v>228</v>
      </c>
      <c r="G696" t="s">
        <v>15</v>
      </c>
      <c r="H696" s="3">
        <v>39838.370833333334</v>
      </c>
      <c r="I696" t="str">
        <f ca="1">TEXT(TRUNC(33.86722), "0" &amp; CHAR(176) &amp; " ") &amp; TEXT(INT((ABS(33.86722)- INT(ABS(33.86722)))*60), "0' ") &amp; TEXT(((((ABS(33.86722)-INT(ABS(33.86722)))*60)- INT((ABS(33.86722) - INT(ABS(33.86722)))*60))*60), " 0''")</f>
        <v>33°c c52  2</v>
      </c>
      <c r="J696" t="str">
        <f ca="1">TEXT(TRUNC(-112.14611), "0" &amp; CHAR(176) &amp; " ") &amp; TEXT(INT((ABS(-112.14611)- INT(ABS(-112.14611)))*60), "0' ") &amp; TEXT(((((ABS(-112.14611)-INT(ABS(-112.14611)))*60)- INT((ABS(-112.14611) - INT(ABS(-112.14611)))*60))*60), " 0''")</f>
        <v>-112°c c8  46</v>
      </c>
    </row>
    <row r="697" spans="1:10">
      <c r="A697" t="s">
        <v>10</v>
      </c>
      <c r="B697" s="2">
        <v>1200</v>
      </c>
      <c r="C697" t="s">
        <v>24</v>
      </c>
      <c r="D697" t="s">
        <v>1517</v>
      </c>
      <c r="E697" t="s">
        <v>118</v>
      </c>
      <c r="F697" t="s">
        <v>53</v>
      </c>
      <c r="G697" t="s">
        <v>54</v>
      </c>
      <c r="H697" s="3">
        <v>39838.39375</v>
      </c>
      <c r="I69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69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698" spans="1:10">
      <c r="A698" t="s">
        <v>10</v>
      </c>
      <c r="B698" s="2">
        <v>1200</v>
      </c>
      <c r="C698" t="s">
        <v>24</v>
      </c>
      <c r="D698" t="s">
        <v>1518</v>
      </c>
      <c r="E698" t="s">
        <v>1519</v>
      </c>
      <c r="F698" t="s">
        <v>400</v>
      </c>
      <c r="G698" t="s">
        <v>15</v>
      </c>
      <c r="H698" s="3">
        <v>39838.4</v>
      </c>
      <c r="I698" t="str">
        <f ca="1">TEXT(TRUNC(42.68056), "0" &amp; CHAR(176) &amp; " ") &amp; TEXT(INT((ABS(42.68056)- INT(ABS(42.68056)))*60), "0' ") &amp; TEXT(((((ABS(42.68056)-INT(ABS(42.68056)))*60)- INT((ABS(42.68056) - INT(ABS(42.68056)))*60))*60), " 0''")</f>
        <v>42°c c40  50</v>
      </c>
      <c r="J698" t="str">
        <f ca="1">TEXT(TRUNC(-83.13389), "0" &amp; CHAR(176) &amp; " ") &amp; TEXT(INT((ABS(-83.13389)- INT(ABS(-83.13389)))*60), "0' ") &amp; TEXT(((((ABS(-83.13389)-INT(ABS(-83.13389)))*60)- INT((ABS(-83.13389) - INT(ABS(-83.13389)))*60))*60), " 0''")</f>
        <v>-83°c c8  2</v>
      </c>
    </row>
    <row r="699" spans="1:10">
      <c r="A699" t="s">
        <v>10</v>
      </c>
      <c r="B699" s="2">
        <v>1200</v>
      </c>
      <c r="C699" t="s">
        <v>11</v>
      </c>
      <c r="D699" t="s">
        <v>1520</v>
      </c>
      <c r="E699" t="s">
        <v>1521</v>
      </c>
      <c r="F699" t="s">
        <v>380</v>
      </c>
      <c r="G699" t="s">
        <v>42</v>
      </c>
      <c r="H699" s="3">
        <v>39838.438888888886</v>
      </c>
      <c r="I699" t="str">
        <f ca="1">TEXT(TRUNC(43.7666667), "0" &amp; CHAR(176) &amp; " ") &amp; TEXT(INT((ABS(43.7666667)- INT(ABS(43.7666667)))*60), "0' ") &amp; TEXT(((((ABS(43.7666667)-INT(ABS(43.7666667)))*60)- INT((ABS(43.7666667) - INT(ABS(43.7666667)))*60))*60), " 0''")</f>
        <v>43°c c46  0</v>
      </c>
      <c r="J699" t="str">
        <f ca="1">TEXT(TRUNC(11.25), "0" &amp; CHAR(176) &amp; " ") &amp; TEXT(INT((ABS(11.25)- INT(ABS(11.25)))*60), "0' ") &amp; TEXT(((((ABS(11.25)-INT(ABS(11.25)))*60)- INT((ABS(11.25) - INT(ABS(11.25)))*60))*60), " 0''")</f>
        <v>11°c c15  0</v>
      </c>
    </row>
    <row r="700" spans="1:10">
      <c r="A700" t="s">
        <v>10</v>
      </c>
      <c r="B700" s="2">
        <v>1200</v>
      </c>
      <c r="C700" t="s">
        <v>33</v>
      </c>
      <c r="D700" t="s">
        <v>1522</v>
      </c>
      <c r="E700" t="s">
        <v>1523</v>
      </c>
      <c r="F700" t="s">
        <v>190</v>
      </c>
      <c r="G700" t="s">
        <v>15</v>
      </c>
      <c r="H700" s="3">
        <v>39838.44027777778</v>
      </c>
      <c r="I700" t="str">
        <f ca="1">TEXT(TRUNC(42.30972), "0" &amp; CHAR(176) &amp; " ") &amp; TEXT(INT((ABS(42.30972)- INT(ABS(42.30972)))*60), "0' ") &amp; TEXT(((((ABS(42.30972)-INT(ABS(42.30972)))*60)- INT((ABS(42.30972) - INT(ABS(42.30972)))*60))*60), " 0''")</f>
        <v>42°c c18  35</v>
      </c>
      <c r="J700" t="str">
        <f ca="1">TEXT(TRUNC(-71.12083), "0" &amp; CHAR(176) &amp; " ") &amp; TEXT(INT((ABS(-71.12083)- INT(ABS(-71.12083)))*60), "0' ") &amp; TEXT(((((ABS(-71.12083)-INT(ABS(-71.12083)))*60)- INT((ABS(-71.12083) - INT(ABS(-71.12083)))*60))*60), " 0''")</f>
        <v>-71°c c7  15</v>
      </c>
    </row>
    <row r="701" spans="1:10">
      <c r="A701" t="s">
        <v>10</v>
      </c>
      <c r="B701" s="2">
        <v>1200</v>
      </c>
      <c r="C701" t="s">
        <v>50</v>
      </c>
      <c r="D701" t="s">
        <v>1524</v>
      </c>
      <c r="E701" t="s">
        <v>1140</v>
      </c>
      <c r="F701" t="s">
        <v>27</v>
      </c>
      <c r="G701" t="s">
        <v>15</v>
      </c>
      <c r="H701" s="3">
        <v>39838.451388888891</v>
      </c>
      <c r="I701" t="str">
        <f ca="1">TEXT(TRUNC(29.42389), "0" &amp; CHAR(176) &amp; " ") &amp; TEXT(INT((ABS(29.42389)- INT(ABS(29.42389)))*60), "0' ") &amp; TEXT(((((ABS(29.42389)-INT(ABS(29.42389)))*60)- INT((ABS(29.42389) - INT(ABS(29.42389)))*60))*60), " 0''")</f>
        <v>29°c c25  26</v>
      </c>
      <c r="J701" t="str">
        <f ca="1">TEXT(TRUNC(-98.49333), "0" &amp; CHAR(176) &amp; " ") &amp; TEXT(INT((ABS(-98.49333)- INT(ABS(-98.49333)))*60), "0' ") &amp; TEXT(((((ABS(-98.49333)-INT(ABS(-98.49333)))*60)- INT((ABS(-98.49333) - INT(ABS(-98.49333)))*60))*60), " 0''")</f>
        <v>-98°c c29  36</v>
      </c>
    </row>
    <row r="702" spans="1:10">
      <c r="A702" t="s">
        <v>10</v>
      </c>
      <c r="B702" s="2">
        <v>1200</v>
      </c>
      <c r="C702" t="s">
        <v>33</v>
      </c>
      <c r="D702" t="s">
        <v>1529</v>
      </c>
      <c r="E702" t="s">
        <v>1530</v>
      </c>
      <c r="F702" t="s">
        <v>45</v>
      </c>
      <c r="G702" t="s">
        <v>15</v>
      </c>
      <c r="H702" s="3">
        <v>39838.538194444445</v>
      </c>
      <c r="I702" t="str">
        <f ca="1">TEXT(TRUNC(26.35833), "0" &amp; CHAR(176) &amp; " ") &amp; TEXT(INT((ABS(26.35833)- INT(ABS(26.35833)))*60), "0' ") &amp; TEXT(((((ABS(26.35833)-INT(ABS(26.35833)))*60)- INT((ABS(26.35833) - INT(ABS(26.35833)))*60))*60), " 0''")</f>
        <v>26°c c21  30</v>
      </c>
      <c r="J702" t="str">
        <f ca="1">TEXT(TRUNC(-80.08333), "0" &amp; CHAR(176) &amp; " ") &amp; TEXT(INT((ABS(-80.08333)- INT(ABS(-80.08333)))*60), "0' ") &amp; TEXT(((((ABS(-80.08333)-INT(ABS(-80.08333)))*60)- INT((ABS(-80.08333) - INT(ABS(-80.08333)))*60))*60), " 0''")</f>
        <v>-80°c c4  60</v>
      </c>
    </row>
    <row r="703" spans="1:10">
      <c r="A703" t="s">
        <v>10</v>
      </c>
      <c r="B703" s="2">
        <v>1200</v>
      </c>
      <c r="C703" t="s">
        <v>24</v>
      </c>
      <c r="D703" t="s">
        <v>1531</v>
      </c>
      <c r="E703" t="s">
        <v>1532</v>
      </c>
      <c r="F703" t="s">
        <v>193</v>
      </c>
      <c r="G703" t="s">
        <v>15</v>
      </c>
      <c r="H703" s="3">
        <v>39838.540972222225</v>
      </c>
      <c r="I703" t="str">
        <f ca="1">TEXT(TRUNC(39.84667), "0" &amp; CHAR(176) &amp; " ") &amp; TEXT(INT((ABS(39.84667)- INT(ABS(39.84667)))*60), "0' ") &amp; TEXT(((((ABS(39.84667)-INT(ABS(39.84667)))*60)- INT((ABS(39.84667) - INT(ABS(39.84667)))*60))*60), " 0''")</f>
        <v>39°c c50  48</v>
      </c>
      <c r="J703" t="str">
        <f ca="1">TEXT(TRUNC(-75.71194), "0" &amp; CHAR(176) &amp; " ") &amp; TEXT(INT((ABS(-75.71194)- INT(ABS(-75.71194)))*60), "0' ") &amp; TEXT(((((ABS(-75.71194)-INT(ABS(-75.71194)))*60)- INT((ABS(-75.71194) - INT(ABS(-75.71194)))*60))*60), " 0''")</f>
        <v>-75°c c42  43</v>
      </c>
    </row>
    <row r="704" spans="1:10">
      <c r="A704" t="s">
        <v>10</v>
      </c>
      <c r="B704" s="2">
        <v>1200</v>
      </c>
      <c r="C704" t="s">
        <v>24</v>
      </c>
      <c r="D704" t="s">
        <v>1533</v>
      </c>
      <c r="E704" t="s">
        <v>1534</v>
      </c>
      <c r="F704" t="s">
        <v>567</v>
      </c>
      <c r="G704" t="s">
        <v>15</v>
      </c>
      <c r="H704" s="3">
        <v>39838.611111111109</v>
      </c>
      <c r="I704" t="str">
        <f ca="1">TEXT(TRUNC(35.7825), "0" &amp; CHAR(176) &amp; " ") &amp; TEXT(INT((ABS(35.7825)- INT(ABS(35.7825)))*60), "0' ") &amp; TEXT(((((ABS(35.7825)-INT(ABS(35.7825)))*60)- INT((ABS(35.7825) - INT(ABS(35.7825)))*60))*60), " 0''")</f>
        <v>35°c c46  57</v>
      </c>
      <c r="J704" t="str">
        <f ca="1">TEXT(TRUNC(-80.8875), "0" &amp; CHAR(176) &amp; " ") &amp; TEXT(INT((ABS(-80.8875)- INT(ABS(-80.8875)))*60), "0' ") &amp; TEXT(((((ABS(-80.8875)-INT(ABS(-80.8875)))*60)- INT((ABS(-80.8875) - INT(ABS(-80.8875)))*60))*60), " 0''")</f>
        <v>-80°c c53  15</v>
      </c>
    </row>
    <row r="705" spans="1:10">
      <c r="A705" t="s">
        <v>10</v>
      </c>
      <c r="B705" s="2">
        <v>1200</v>
      </c>
      <c r="C705" t="s">
        <v>50</v>
      </c>
      <c r="D705" t="s">
        <v>600</v>
      </c>
      <c r="E705" t="s">
        <v>251</v>
      </c>
      <c r="F705" t="s">
        <v>252</v>
      </c>
      <c r="G705" t="s">
        <v>81</v>
      </c>
      <c r="H705" s="3">
        <v>39838.672222222223</v>
      </c>
      <c r="I70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70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706" spans="1:10">
      <c r="A706" t="s">
        <v>10</v>
      </c>
      <c r="B706" s="2">
        <v>1200</v>
      </c>
      <c r="C706" t="s">
        <v>33</v>
      </c>
      <c r="D706" t="s">
        <v>1538</v>
      </c>
      <c r="E706" t="s">
        <v>1539</v>
      </c>
      <c r="F706" t="s">
        <v>476</v>
      </c>
      <c r="G706" t="s">
        <v>15</v>
      </c>
      <c r="H706" s="3">
        <v>39838.678472222222</v>
      </c>
      <c r="I706" t="str">
        <f ca="1">TEXT(TRUNC(34.20722), "0" &amp; CHAR(176) &amp; " ") &amp; TEXT(INT((ABS(34.20722)- INT(ABS(34.20722)))*60), "0' ") &amp; TEXT(((((ABS(34.20722)-INT(ABS(34.20722)))*60)- INT((ABS(34.20722) - INT(ABS(34.20722)))*60))*60), " 0''")</f>
        <v>34°c c12  26</v>
      </c>
      <c r="J706" t="str">
        <f ca="1">TEXT(TRUNC(-84.14028), "0" &amp; CHAR(176) &amp; " ") &amp; TEXT(INT((ABS(-84.14028)- INT(ABS(-84.14028)))*60), "0' ") &amp; TEXT(((((ABS(-84.14028)-INT(ABS(-84.14028)))*60)- INT((ABS(-84.14028) - INT(ABS(-84.14028)))*60))*60), " 0''")</f>
        <v>-84°c c8  25</v>
      </c>
    </row>
    <row r="707" spans="1:10">
      <c r="A707" t="s">
        <v>10</v>
      </c>
      <c r="B707" s="2">
        <v>1200</v>
      </c>
      <c r="C707" t="s">
        <v>24</v>
      </c>
      <c r="D707" t="s">
        <v>1540</v>
      </c>
      <c r="E707" t="s">
        <v>1541</v>
      </c>
      <c r="F707" t="s">
        <v>259</v>
      </c>
      <c r="G707" t="s">
        <v>15</v>
      </c>
      <c r="H707" s="3">
        <v>39838.741666666669</v>
      </c>
      <c r="I707" t="str">
        <f ca="1">TEXT(TRUNC(39.83667), "0" &amp; CHAR(176) &amp; " ") &amp; TEXT(INT((ABS(39.83667)- INT(ABS(39.83667)))*60), "0' ") &amp; TEXT(((((ABS(39.83667)-INT(ABS(39.83667)))*60)- INT((ABS(39.83667) - INT(ABS(39.83667)))*60))*60), " 0''")</f>
        <v>39°c c50  12</v>
      </c>
      <c r="J707" t="str">
        <f ca="1">TEXT(TRUNC(-105.03667), "0" &amp; CHAR(176) &amp; " ") &amp; TEXT(INT((ABS(-105.03667)- INT(ABS(-105.03667)))*60), "0' ") &amp; TEXT(((((ABS(-105.03667)-INT(ABS(-105.03667)))*60)- INT((ABS(-105.03667) - INT(ABS(-105.03667)))*60))*60), " 0''")</f>
        <v>-105°c c2  12</v>
      </c>
    </row>
    <row r="708" spans="1:10">
      <c r="A708" t="s">
        <v>10</v>
      </c>
      <c r="B708" s="2">
        <v>1200</v>
      </c>
      <c r="C708" t="s">
        <v>24</v>
      </c>
      <c r="D708" t="s">
        <v>739</v>
      </c>
      <c r="E708" t="s">
        <v>1542</v>
      </c>
      <c r="F708" t="s">
        <v>391</v>
      </c>
      <c r="G708" t="s">
        <v>15</v>
      </c>
      <c r="H708" s="3">
        <v>39838.746527777781</v>
      </c>
      <c r="I708" t="str">
        <f ca="1">TEXT(TRUNC(22.07833), "0" &amp; CHAR(176) &amp; " ") &amp; TEXT(INT((ABS(22.07833)- INT(ABS(22.07833)))*60), "0' ") &amp; TEXT(((((ABS(22.07833)-INT(ABS(22.07833)))*60)- INT((ABS(22.07833) - INT(ABS(22.07833)))*60))*60), " 0''")</f>
        <v>22°c c4  42</v>
      </c>
      <c r="J708" t="str">
        <f ca="1">TEXT(TRUNC(-159.32194), "0" &amp; CHAR(176) &amp; " ") &amp; TEXT(INT((ABS(-159.32194)- INT(ABS(-159.32194)))*60), "0' ") &amp; TEXT(((((ABS(-159.32194)-INT(ABS(-159.32194)))*60)- INT((ABS(-159.32194) - INT(ABS(-159.32194)))*60))*60), " 0''")</f>
        <v>-159°c c19  19</v>
      </c>
    </row>
    <row r="709" spans="1:10">
      <c r="A709" t="s">
        <v>10</v>
      </c>
      <c r="B709" s="2">
        <v>1200</v>
      </c>
      <c r="C709" t="s">
        <v>24</v>
      </c>
      <c r="D709" t="s">
        <v>363</v>
      </c>
      <c r="E709" t="s">
        <v>1545</v>
      </c>
      <c r="F709" t="s">
        <v>1546</v>
      </c>
      <c r="G709" t="s">
        <v>209</v>
      </c>
      <c r="H709" s="3">
        <v>39838.76458333333</v>
      </c>
      <c r="I709" t="str">
        <f ca="1">TEXT(TRUNC(63.8333333), "0" &amp; CHAR(176) &amp; " ") &amp; TEXT(INT((ABS(63.8333333)- INT(ABS(63.8333333)))*60), "0' ") &amp; TEXT(((((ABS(63.8333333)-INT(ABS(63.8333333)))*60)- INT((ABS(63.8333333) - INT(ABS(63.8333333)))*60))*60), " 0''")</f>
        <v>63°c c49  60</v>
      </c>
      <c r="J709" t="str">
        <f ca="1">TEXT(TRUNC(20.25), "0" &amp; CHAR(176) &amp; " ") &amp; TEXT(INT((ABS(20.25)- INT(ABS(20.25)))*60), "0' ") &amp; TEXT(((((ABS(20.25)-INT(ABS(20.25)))*60)- INT((ABS(20.25) - INT(ABS(20.25)))*60))*60), " 0''")</f>
        <v>20°c c15  0</v>
      </c>
    </row>
    <row r="710" spans="1:10">
      <c r="A710" t="s">
        <v>10</v>
      </c>
      <c r="B710" s="2">
        <v>1200</v>
      </c>
      <c r="C710" t="s">
        <v>24</v>
      </c>
      <c r="D710" t="s">
        <v>1547</v>
      </c>
      <c r="E710" t="s">
        <v>1548</v>
      </c>
      <c r="F710" t="s">
        <v>687</v>
      </c>
      <c r="G710" t="s">
        <v>15</v>
      </c>
      <c r="H710" s="3">
        <v>39838.772916666669</v>
      </c>
      <c r="I710" t="str">
        <f ca="1">TEXT(TRUNC(45.78333), "0" &amp; CHAR(176) &amp; " ") &amp; TEXT(INT((ABS(45.78333)- INT(ABS(45.78333)))*60), "0' ") &amp; TEXT(((((ABS(45.78333)-INT(ABS(45.78333)))*60)- INT((ABS(45.78333) - INT(ABS(45.78333)))*60))*60), " 0''")</f>
        <v>45°c c46  60</v>
      </c>
      <c r="J710" t="str">
        <f ca="1">TEXT(TRUNC(-108.5), "0" &amp; CHAR(176) &amp; " ") &amp; TEXT(INT((ABS(-108.5)- INT(ABS(-108.5)))*60), "0' ") &amp; TEXT(((((ABS(-108.5)-INT(ABS(-108.5)))*60)- INT((ABS(-108.5) - INT(ABS(-108.5)))*60))*60), " 0''")</f>
        <v>-108°c c30  0</v>
      </c>
    </row>
    <row r="711" spans="1:10">
      <c r="A711" t="s">
        <v>10</v>
      </c>
      <c r="B711" s="2">
        <v>1200</v>
      </c>
      <c r="C711" t="s">
        <v>11</v>
      </c>
      <c r="D711" t="s">
        <v>585</v>
      </c>
      <c r="E711" t="s">
        <v>1549</v>
      </c>
      <c r="F711" t="s">
        <v>98</v>
      </c>
      <c r="G711" t="s">
        <v>15</v>
      </c>
      <c r="H711" s="3">
        <v>39838.772916666669</v>
      </c>
      <c r="I711" t="str">
        <f ca="1">TEXT(TRUNC(41.25056), "0" &amp; CHAR(176) &amp; " ") &amp; TEXT(INT((ABS(41.25056)- INT(ABS(41.25056)))*60), "0' ") &amp; TEXT(((((ABS(41.25056)-INT(ABS(41.25056)))*60)- INT((ABS(41.25056) - INT(ABS(41.25056)))*60))*60), " 0''")</f>
        <v>41°c c15  2</v>
      </c>
      <c r="J711" t="str">
        <f ca="1">TEXT(TRUNC(-87.83139), "0" &amp; CHAR(176) &amp; " ") &amp; TEXT(INT((ABS(-87.83139)- INT(ABS(-87.83139)))*60), "0' ") &amp; TEXT(((((ABS(-87.83139)-INT(ABS(-87.83139)))*60)- INT((ABS(-87.83139) - INT(ABS(-87.83139)))*60))*60), " 0''")</f>
        <v>-87°c c49  53</v>
      </c>
    </row>
    <row r="712" spans="1:10">
      <c r="A712" t="s">
        <v>10</v>
      </c>
      <c r="B712" s="2">
        <v>1200</v>
      </c>
      <c r="C712" t="s">
        <v>11</v>
      </c>
      <c r="D712" t="s">
        <v>1550</v>
      </c>
      <c r="E712" t="s">
        <v>1551</v>
      </c>
      <c r="F712" t="s">
        <v>1552</v>
      </c>
      <c r="G712" t="s">
        <v>1014</v>
      </c>
      <c r="H712" s="3">
        <v>39838.822222222225</v>
      </c>
      <c r="I712" t="str">
        <f ca="1">TEXT(TRUNC(-19.6666667), "0" &amp; CHAR(176) &amp; " ") &amp; TEXT(INT((ABS(-19.6666667)- INT(ABS(-19.6666667)))*60), "0' ") &amp; TEXT(((((ABS(-19.6666667)-INT(ABS(-19.6666667)))*60)- INT((ABS(-19.6666667) - INT(ABS(-19.6666667)))*60))*60), " 0''")</f>
        <v>-19°c c40  0</v>
      </c>
      <c r="J712" t="str">
        <f ca="1">TEXT(TRUNC(-43.9166667), "0" &amp; CHAR(176) &amp; " ") &amp; TEXT(INT((ABS(-43.9166667)- INT(ABS(-43.9166667)))*60), "0' ") &amp; TEXT(((((ABS(-43.9166667)-INT(ABS(-43.9166667)))*60)- INT((ABS(-43.9166667) - INT(ABS(-43.9166667)))*60))*60), " 0''")</f>
        <v>-43°c c55  0</v>
      </c>
    </row>
    <row r="713" spans="1:10">
      <c r="A713" t="s">
        <v>10</v>
      </c>
      <c r="B713" s="2">
        <v>1200</v>
      </c>
      <c r="C713" t="s">
        <v>24</v>
      </c>
      <c r="D713" t="s">
        <v>114</v>
      </c>
      <c r="E713" t="s">
        <v>517</v>
      </c>
      <c r="F713" t="s">
        <v>68</v>
      </c>
      <c r="G713" t="s">
        <v>15</v>
      </c>
      <c r="H713" s="3">
        <v>39838.832638888889</v>
      </c>
      <c r="I713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713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714" spans="1:10">
      <c r="A714" t="s">
        <v>10</v>
      </c>
      <c r="B714" s="2">
        <v>1200</v>
      </c>
      <c r="C714" t="s">
        <v>24</v>
      </c>
      <c r="D714" t="s">
        <v>1065</v>
      </c>
      <c r="E714" t="s">
        <v>1553</v>
      </c>
      <c r="F714" t="s">
        <v>14</v>
      </c>
      <c r="G714" t="s">
        <v>15</v>
      </c>
      <c r="H714" s="3">
        <v>39838.84375</v>
      </c>
      <c r="I714" t="str">
        <f ca="1">TEXT(TRUNC(41.2219), "0" &amp; CHAR(176) &amp; " ") &amp; TEXT(INT((ABS(41.2219)- INT(ABS(41.2219)))*60), "0' ") &amp; TEXT(((((ABS(41.2219)-INT(ABS(41.2219)))*60)- INT((ABS(41.2219) - INT(ABS(41.2219)))*60))*60), " 0''")</f>
        <v>41°c c13  19</v>
      </c>
      <c r="J714" t="str">
        <f ca="1">TEXT(TRUNC(-73.887), "0" &amp; CHAR(176) &amp; " ") &amp; TEXT(INT((ABS(-73.887)- INT(ABS(-73.887)))*60), "0' ") &amp; TEXT(((((ABS(-73.887)-INT(ABS(-73.887)))*60)- INT((ABS(-73.887) - INT(ABS(-73.887)))*60))*60), " 0''")</f>
        <v>-73°c c53  13</v>
      </c>
    </row>
    <row r="715" spans="1:10">
      <c r="A715" t="s">
        <v>10</v>
      </c>
      <c r="B715" s="2">
        <v>1200</v>
      </c>
      <c r="C715" t="s">
        <v>24</v>
      </c>
      <c r="D715" t="s">
        <v>1554</v>
      </c>
      <c r="E715" t="s">
        <v>1537</v>
      </c>
      <c r="F715" t="s">
        <v>1156</v>
      </c>
      <c r="G715" t="s">
        <v>15</v>
      </c>
      <c r="H715" s="3">
        <v>39838.863888888889</v>
      </c>
      <c r="I715" t="str">
        <f ca="1">TEXT(TRUNC(36.33194), "0" &amp; CHAR(176) &amp; " ") &amp; TEXT(INT((ABS(36.33194)- INT(ABS(36.33194)))*60), "0' ") &amp; TEXT(((((ABS(36.33194)-INT(ABS(36.33194)))*60)- INT((ABS(36.33194) - INT(ABS(36.33194)))*60))*60), " 0''")</f>
        <v>36°c c19  55</v>
      </c>
      <c r="J715" t="str">
        <f ca="1">TEXT(TRUNC(-94.11833), "0" &amp; CHAR(176) &amp; " ") &amp; TEXT(INT((ABS(-94.11833)- INT(ABS(-94.11833)))*60), "0' ") &amp; TEXT(((((ABS(-94.11833)-INT(ABS(-94.11833)))*60)- INT((ABS(-94.11833) - INT(ABS(-94.11833)))*60))*60), " 0''")</f>
        <v>-94°c c7  6</v>
      </c>
    </row>
    <row r="716" spans="1:10">
      <c r="A716" t="s">
        <v>10</v>
      </c>
      <c r="B716" s="2">
        <v>1200</v>
      </c>
      <c r="C716" t="s">
        <v>11</v>
      </c>
      <c r="D716" t="s">
        <v>886</v>
      </c>
      <c r="E716" t="s">
        <v>757</v>
      </c>
      <c r="F716" t="s">
        <v>57</v>
      </c>
      <c r="G716" t="s">
        <v>15</v>
      </c>
      <c r="H716" s="3">
        <v>39838.90902777778</v>
      </c>
      <c r="I716" t="str">
        <f ca="1">TEXT(TRUNC(37.775), "0" &amp; CHAR(176) &amp; " ") &amp; TEXT(INT((ABS(37.775)- INT(ABS(37.775)))*60), "0' ") &amp; TEXT(((((ABS(37.775)-INT(ABS(37.775)))*60)- INT((ABS(37.775) - INT(ABS(37.775)))*60))*60), " 0''")</f>
        <v>37°c c46  30</v>
      </c>
      <c r="J716" t="str">
        <f ca="1">TEXT(TRUNC(-122.41833), "0" &amp; CHAR(176) &amp; " ") &amp; TEXT(INT((ABS(-122.41833)- INT(ABS(-122.41833)))*60), "0' ") &amp; TEXT(((((ABS(-122.41833)-INT(ABS(-122.41833)))*60)- INT((ABS(-122.41833) - INT(ABS(-122.41833)))*60))*60), " 0''")</f>
        <v>-122°c c25  6</v>
      </c>
    </row>
    <row r="717" spans="1:10">
      <c r="A717" t="s">
        <v>10</v>
      </c>
      <c r="B717" s="2">
        <v>1200</v>
      </c>
      <c r="C717" t="s">
        <v>24</v>
      </c>
      <c r="D717" t="s">
        <v>1555</v>
      </c>
      <c r="E717" t="s">
        <v>1556</v>
      </c>
      <c r="F717" t="s">
        <v>880</v>
      </c>
      <c r="G717" t="s">
        <v>159</v>
      </c>
      <c r="H717" s="3">
        <v>39839.051388888889</v>
      </c>
      <c r="I717" t="str">
        <f ca="1">TEXT(TRUNC(38.0166667), "0" &amp; CHAR(176) &amp; " ") &amp; TEXT(INT((ABS(38.0166667)- INT(ABS(38.0166667)))*60), "0' ") &amp; TEXT(((((ABS(38.0166667)-INT(ABS(38.0166667)))*60)- INT((ABS(38.0166667) - INT(ABS(38.0166667)))*60))*60), " 0''")</f>
        <v>38°c c1  0</v>
      </c>
      <c r="J717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718" spans="1:10">
      <c r="A718" t="s">
        <v>10</v>
      </c>
      <c r="B718" s="2">
        <v>1200</v>
      </c>
      <c r="C718" t="s">
        <v>11</v>
      </c>
      <c r="D718" t="s">
        <v>1558</v>
      </c>
      <c r="E718" t="s">
        <v>1559</v>
      </c>
      <c r="F718" t="s">
        <v>14</v>
      </c>
      <c r="G718" t="s">
        <v>15</v>
      </c>
      <c r="H718" s="3">
        <v>39839.154861111114</v>
      </c>
      <c r="I718" t="str">
        <f ca="1">TEXT(TRUNC(41.37222), "0" &amp; CHAR(176) &amp; " ") &amp; TEXT(INT((ABS(41.37222)- INT(ABS(41.37222)))*60), "0' ") &amp; TEXT(((((ABS(41.37222)-INT(ABS(41.37222)))*60)- INT((ABS(41.37222) - INT(ABS(41.37222)))*60))*60), " 0''")</f>
        <v>41°c c22  20</v>
      </c>
      <c r="J718" t="str">
        <f ca="1">TEXT(TRUNC(-73.73389), "0" &amp; CHAR(176) &amp; " ") &amp; TEXT(INT((ABS(-73.73389)- INT(ABS(-73.73389)))*60), "0' ") &amp; TEXT(((((ABS(-73.73389)-INT(ABS(-73.73389)))*60)- INT((ABS(-73.73389) - INT(ABS(-73.73389)))*60))*60), " 0''")</f>
        <v>-73°c c44  2</v>
      </c>
    </row>
    <row r="719" spans="1:10">
      <c r="A719" t="s">
        <v>10</v>
      </c>
      <c r="B719" s="2">
        <v>1200</v>
      </c>
      <c r="C719" t="s">
        <v>24</v>
      </c>
      <c r="D719" t="s">
        <v>1562</v>
      </c>
      <c r="E719" t="s">
        <v>1563</v>
      </c>
      <c r="F719" t="s">
        <v>1564</v>
      </c>
      <c r="G719" t="s">
        <v>15</v>
      </c>
      <c r="H719" s="3">
        <v>39839.1875</v>
      </c>
      <c r="I719" t="str">
        <f ca="1">TEXT(TRUNC(38.99806), "0" &amp; CHAR(176) &amp; " ") &amp; TEXT(INT((ABS(38.99806)- INT(ABS(38.99806)))*60), "0' ") &amp; TEXT(((((ABS(38.99806)-INT(ABS(38.99806)))*60)- INT((ABS(38.99806) - INT(ABS(38.99806)))*60))*60), " 0''")</f>
        <v>38°c c59  53</v>
      </c>
      <c r="J719" t="str">
        <f ca="1">TEXT(TRUNC(-77.28861), "0" &amp; CHAR(176) &amp; " ") &amp; TEXT(INT((ABS(-77.28861)- INT(ABS(-77.28861)))*60), "0' ") &amp; TEXT(((((ABS(-77.28861)-INT(ABS(-77.28861)))*60)- INT((ABS(-77.28861) - INT(ABS(-77.28861)))*60))*60), " 0''")</f>
        <v>-77°c c17  19</v>
      </c>
    </row>
    <row r="720" spans="1:10">
      <c r="A720" t="s">
        <v>10</v>
      </c>
      <c r="B720" s="2">
        <v>1200</v>
      </c>
      <c r="C720" t="s">
        <v>24</v>
      </c>
      <c r="D720" t="s">
        <v>1565</v>
      </c>
      <c r="E720" t="s">
        <v>118</v>
      </c>
      <c r="F720" t="s">
        <v>53</v>
      </c>
      <c r="G720" t="s">
        <v>54</v>
      </c>
      <c r="H720" s="3">
        <v>39839.203472222223</v>
      </c>
      <c r="I720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720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721" spans="1:10">
      <c r="A721" t="s">
        <v>10</v>
      </c>
      <c r="B721" s="2">
        <v>1200</v>
      </c>
      <c r="C721" t="s">
        <v>24</v>
      </c>
      <c r="D721" t="s">
        <v>1568</v>
      </c>
      <c r="E721" t="s">
        <v>1569</v>
      </c>
      <c r="F721" t="s">
        <v>193</v>
      </c>
      <c r="G721" t="s">
        <v>15</v>
      </c>
      <c r="H721" s="3">
        <v>39839.267361111109</v>
      </c>
      <c r="I721" t="str">
        <f ca="1">TEXT(TRUNC(40.04056), "0" &amp; CHAR(176) &amp; " ") &amp; TEXT(INT((ABS(40.04056)- INT(ABS(40.04056)))*60), "0' ") &amp; TEXT(((((ABS(40.04056)-INT(ABS(40.04056)))*60)- INT((ABS(40.04056) - INT(ABS(40.04056)))*60))*60), " 0''")</f>
        <v>40°c c2  26</v>
      </c>
      <c r="J721" t="str">
        <f ca="1">TEXT(TRUNC(-75.27944), "0" &amp; CHAR(176) &amp; " ") &amp; TEXT(INT((ABS(-75.27944)- INT(ABS(-75.27944)))*60), "0' ") &amp; TEXT(((((ABS(-75.27944)-INT(ABS(-75.27944)))*60)- INT((ABS(-75.27944) - INT(ABS(-75.27944)))*60))*60), " 0''")</f>
        <v>-75°c c16  46</v>
      </c>
    </row>
    <row r="722" spans="1:10">
      <c r="A722" t="s">
        <v>10</v>
      </c>
      <c r="B722" s="2">
        <v>1200</v>
      </c>
      <c r="C722" t="s">
        <v>24</v>
      </c>
      <c r="D722" t="s">
        <v>1570</v>
      </c>
      <c r="E722" t="s">
        <v>1571</v>
      </c>
      <c r="F722" t="s">
        <v>888</v>
      </c>
      <c r="G722" t="s">
        <v>75</v>
      </c>
      <c r="H722" s="3">
        <v>39839.275694444441</v>
      </c>
      <c r="I722" t="str">
        <f ca="1">TEXT(TRUNC(46.0166667), "0" &amp; CHAR(176) &amp; " ") &amp; TEXT(INT((ABS(46.0166667)- INT(ABS(46.0166667)))*60), "0' ") &amp; TEXT(((((ABS(46.0166667)-INT(ABS(46.0166667)))*60)- INT((ABS(46.0166667) - INT(ABS(46.0166667)))*60))*60), " 0''")</f>
        <v>46°c c1  0</v>
      </c>
      <c r="J722" t="str">
        <f ca="1">TEXT(TRUNC(8.95), "0" &amp; CHAR(176) &amp; " ") &amp; TEXT(INT((ABS(8.95)- INT(ABS(8.95)))*60), "0' ") &amp; TEXT(((((ABS(8.95)-INT(ABS(8.95)))*60)- INT((ABS(8.95) - INT(ABS(8.95)))*60))*60), " 0''")</f>
        <v>8°c c56  60</v>
      </c>
    </row>
    <row r="723" spans="1:10">
      <c r="A723" t="s">
        <v>10</v>
      </c>
      <c r="B723" s="2">
        <v>1200</v>
      </c>
      <c r="C723" t="s">
        <v>24</v>
      </c>
      <c r="D723" t="s">
        <v>688</v>
      </c>
      <c r="E723" t="s">
        <v>1132</v>
      </c>
      <c r="F723" t="s">
        <v>152</v>
      </c>
      <c r="G723" t="s">
        <v>15</v>
      </c>
      <c r="H723" s="3">
        <v>39839.276388888888</v>
      </c>
      <c r="I723" t="str">
        <f ca="1">TEXT(TRUNC(38.80472), "0" &amp; CHAR(176) &amp; " ") &amp; TEXT(INT((ABS(38.80472)- INT(ABS(38.80472)))*60), "0' ") &amp; TEXT(((((ABS(38.80472)-INT(ABS(38.80472)))*60)- INT((ABS(38.80472) - INT(ABS(38.80472)))*60))*60), " 0''")</f>
        <v>38°c c48  17</v>
      </c>
      <c r="J723" t="str">
        <f ca="1">TEXT(TRUNC(-77.04722), "0" &amp; CHAR(176) &amp; " ") &amp; TEXT(INT((ABS(-77.04722)- INT(ABS(-77.04722)))*60), "0' ") &amp; TEXT(((((ABS(-77.04722)-INT(ABS(-77.04722)))*60)- INT((ABS(-77.04722) - INT(ABS(-77.04722)))*60))*60), " 0''")</f>
        <v>-77°c c2  50</v>
      </c>
    </row>
    <row r="724" spans="1:10">
      <c r="A724" t="s">
        <v>10</v>
      </c>
      <c r="B724" s="2">
        <v>1200</v>
      </c>
      <c r="C724" t="s">
        <v>24</v>
      </c>
      <c r="D724" t="s">
        <v>1572</v>
      </c>
      <c r="E724" t="s">
        <v>842</v>
      </c>
      <c r="F724" t="s">
        <v>405</v>
      </c>
      <c r="G724" t="s">
        <v>15</v>
      </c>
      <c r="H724" s="3">
        <v>39839.299305555556</v>
      </c>
      <c r="I724" t="str">
        <f ca="1">TEXT(TRUNC(44.98), "0" &amp; CHAR(176) &amp; " ") &amp; TEXT(INT((ABS(44.98)- INT(ABS(44.98)))*60), "0' ") &amp; TEXT(((((ABS(44.98)-INT(ABS(44.98)))*60)- INT((ABS(44.98) - INT(ABS(44.98)))*60))*60), " 0''")</f>
        <v>44°c c58  48</v>
      </c>
      <c r="J724" t="str">
        <f ca="1">TEXT(TRUNC(-93.26361), "0" &amp; CHAR(176) &amp; " ") &amp; TEXT(INT((ABS(-93.26361)- INT(ABS(-93.26361)))*60), "0' ") &amp; TEXT(((((ABS(-93.26361)-INT(ABS(-93.26361)))*60)- INT((ABS(-93.26361) - INT(ABS(-93.26361)))*60))*60), " 0''")</f>
        <v>-93°c c15  49</v>
      </c>
    </row>
    <row r="725" spans="1:10">
      <c r="A725" t="s">
        <v>10</v>
      </c>
      <c r="B725" s="2">
        <v>1200</v>
      </c>
      <c r="C725" t="s">
        <v>33</v>
      </c>
      <c r="D725" t="s">
        <v>1573</v>
      </c>
      <c r="E725" t="s">
        <v>1574</v>
      </c>
      <c r="F725" t="s">
        <v>774</v>
      </c>
      <c r="G725" t="s">
        <v>15</v>
      </c>
      <c r="H725" s="3">
        <v>39839.333333333336</v>
      </c>
      <c r="I725" t="str">
        <f ca="1">TEXT(TRUNC(32.23694), "0" &amp; CHAR(176) &amp; " ") &amp; TEXT(INT((ABS(32.23694)- INT(ABS(32.23694)))*60), "0' ") &amp; TEXT(((((ABS(32.23694)-INT(ABS(32.23694)))*60)- INT((ABS(32.23694) - INT(ABS(32.23694)))*60))*60), " 0''")</f>
        <v>32°c c14  13</v>
      </c>
      <c r="J725" t="str">
        <f ca="1">TEXT(TRUNC(-80.86056), "0" &amp; CHAR(176) &amp; " ") &amp; TEXT(INT((ABS(-80.86056)- INT(ABS(-80.86056)))*60), "0' ") &amp; TEXT(((((ABS(-80.86056)-INT(ABS(-80.86056)))*60)- INT((ABS(-80.86056) - INT(ABS(-80.86056)))*60))*60), " 0''")</f>
        <v>-80°c c51  38</v>
      </c>
    </row>
    <row r="726" spans="1:10">
      <c r="A726" t="s">
        <v>10</v>
      </c>
      <c r="B726" s="2">
        <v>1200</v>
      </c>
      <c r="C726" t="s">
        <v>24</v>
      </c>
      <c r="D726" t="s">
        <v>1575</v>
      </c>
      <c r="E726" t="s">
        <v>1576</v>
      </c>
      <c r="F726" t="s">
        <v>14</v>
      </c>
      <c r="G726" t="s">
        <v>15</v>
      </c>
      <c r="H726" s="3">
        <v>39839.364583333336</v>
      </c>
      <c r="I726" t="str">
        <f ca="1">TEXT(TRUNC(40.92778), "0" &amp; CHAR(176) &amp; " ") &amp; TEXT(INT((ABS(40.92778)- INT(ABS(40.92778)))*60), "0' ") &amp; TEXT(((((ABS(40.92778)-INT(ABS(40.92778)))*60)- INT((ABS(40.92778) - INT(ABS(40.92778)))*60))*60), " 0''")</f>
        <v>40°c c55  40</v>
      </c>
      <c r="J726" t="str">
        <f ca="1">TEXT(TRUNC(-73.75222), "0" &amp; CHAR(176) &amp; " ") &amp; TEXT(INT((ABS(-73.75222)- INT(ABS(-73.75222)))*60), "0' ") &amp; TEXT(((((ABS(-73.75222)-INT(ABS(-73.75222)))*60)- INT((ABS(-73.75222) - INT(ABS(-73.75222)))*60))*60), " 0''")</f>
        <v>-73°c c45  8</v>
      </c>
    </row>
    <row r="727" spans="1:10">
      <c r="A727" t="s">
        <v>10</v>
      </c>
      <c r="B727" s="2">
        <v>1200</v>
      </c>
      <c r="C727" t="s">
        <v>50</v>
      </c>
      <c r="D727" t="s">
        <v>1577</v>
      </c>
      <c r="E727" t="s">
        <v>118</v>
      </c>
      <c r="F727" t="s">
        <v>53</v>
      </c>
      <c r="G727" t="s">
        <v>54</v>
      </c>
      <c r="H727" s="3">
        <v>39839.373611111114</v>
      </c>
      <c r="I727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727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728" spans="1:10">
      <c r="A728" t="s">
        <v>10</v>
      </c>
      <c r="B728" s="2">
        <v>1200</v>
      </c>
      <c r="C728" t="s">
        <v>24</v>
      </c>
      <c r="D728" t="s">
        <v>766</v>
      </c>
      <c r="E728" t="s">
        <v>251</v>
      </c>
      <c r="F728" t="s">
        <v>252</v>
      </c>
      <c r="G728" t="s">
        <v>81</v>
      </c>
      <c r="H728" s="3">
        <v>39839.433333333334</v>
      </c>
      <c r="I728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728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729" spans="1:10">
      <c r="A729" t="s">
        <v>10</v>
      </c>
      <c r="B729" s="2">
        <v>1200</v>
      </c>
      <c r="C729" t="s">
        <v>24</v>
      </c>
      <c r="D729" t="s">
        <v>1578</v>
      </c>
      <c r="E729" t="s">
        <v>100</v>
      </c>
      <c r="F729" t="s">
        <v>80</v>
      </c>
      <c r="G729" t="s">
        <v>81</v>
      </c>
      <c r="H729" s="3">
        <v>39839.43472222222</v>
      </c>
      <c r="I72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72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730" spans="1:10">
      <c r="A730" t="s">
        <v>10</v>
      </c>
      <c r="B730" s="2">
        <v>1200</v>
      </c>
      <c r="C730" t="s">
        <v>11</v>
      </c>
      <c r="D730" t="s">
        <v>1579</v>
      </c>
      <c r="E730" t="s">
        <v>1580</v>
      </c>
      <c r="F730" t="s">
        <v>1581</v>
      </c>
      <c r="G730" t="s">
        <v>110</v>
      </c>
      <c r="H730" s="3">
        <v>39839.47152777778</v>
      </c>
      <c r="I730" t="str">
        <f ca="1">TEXT(TRUNC(60.9666667), "0" &amp; CHAR(176) &amp; " ") &amp; TEXT(INT((ABS(60.9666667)- INT(ABS(60.9666667)))*60), "0' ") &amp; TEXT(((((ABS(60.9666667)-INT(ABS(60.9666667)))*60)- INT((ABS(60.9666667) - INT(ABS(60.9666667)))*60))*60), " 0''")</f>
        <v>60°c c58  0</v>
      </c>
      <c r="J730" t="str">
        <f ca="1">TEXT(TRUNC(25.6666667), "0" &amp; CHAR(176) &amp; " ") &amp; TEXT(INT((ABS(25.6666667)- INT(ABS(25.6666667)))*60), "0' ") &amp; TEXT(((((ABS(25.6666667)-INT(ABS(25.6666667)))*60)- INT((ABS(25.6666667) - INT(ABS(25.6666667)))*60))*60), " 0''")</f>
        <v>25°c c40  0</v>
      </c>
    </row>
    <row r="731" spans="1:10">
      <c r="A731" t="s">
        <v>10</v>
      </c>
      <c r="B731" s="2">
        <v>1200</v>
      </c>
      <c r="C731" t="s">
        <v>24</v>
      </c>
      <c r="D731" t="s">
        <v>889</v>
      </c>
      <c r="E731" t="s">
        <v>1582</v>
      </c>
      <c r="F731" t="s">
        <v>513</v>
      </c>
      <c r="G731" t="s">
        <v>65</v>
      </c>
      <c r="H731" s="3">
        <v>39839.48333333333</v>
      </c>
      <c r="I731" t="str">
        <f ca="1">TEXT(TRUNC(53.2925), "0" &amp; CHAR(176) &amp; " ") &amp; TEXT(INT((ABS(53.2925)- INT(ABS(53.2925)))*60), "0' ") &amp; TEXT(((((ABS(53.2925)-INT(ABS(53.2925)))*60)- INT((ABS(53.2925) - INT(ABS(53.2925)))*60))*60), " 0''")</f>
        <v>53°c c17  33</v>
      </c>
      <c r="J731" t="str">
        <f ca="1">TEXT(TRUNC(-6.1286111), "0" &amp; CHAR(176) &amp; " ") &amp; TEXT(INT((ABS(-6.1286111)- INT(ABS(-6.1286111)))*60), "0' ") &amp; TEXT(((((ABS(-6.1286111)-INT(ABS(-6.1286111)))*60)- INT((ABS(-6.1286111) - INT(ABS(-6.1286111)))*60))*60), " 0''")</f>
        <v>-6°c c7  43</v>
      </c>
    </row>
    <row r="732" spans="1:10">
      <c r="A732" t="s">
        <v>10</v>
      </c>
      <c r="B732" s="2">
        <v>1200</v>
      </c>
      <c r="C732" t="s">
        <v>11</v>
      </c>
      <c r="D732" t="s">
        <v>1583</v>
      </c>
      <c r="E732" t="s">
        <v>519</v>
      </c>
      <c r="F732" t="s">
        <v>27</v>
      </c>
      <c r="G732" t="s">
        <v>15</v>
      </c>
      <c r="H732" s="3">
        <v>39839.484722222223</v>
      </c>
      <c r="I732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732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733" spans="1:10">
      <c r="A733" t="s">
        <v>10</v>
      </c>
      <c r="B733" s="2">
        <v>1250</v>
      </c>
      <c r="C733" t="s">
        <v>11</v>
      </c>
      <c r="D733" t="s">
        <v>1584</v>
      </c>
      <c r="E733" t="s">
        <v>1246</v>
      </c>
      <c r="F733" t="s">
        <v>228</v>
      </c>
      <c r="G733" t="s">
        <v>15</v>
      </c>
      <c r="H733" s="3">
        <v>39839.503472222219</v>
      </c>
      <c r="I733" t="str">
        <f ca="1">TEXT(TRUNC(33.24861), "0" &amp; CHAR(176) &amp; " ") &amp; TEXT(INT((ABS(33.24861)- INT(ABS(33.24861)))*60), "0' ") &amp; TEXT(((((ABS(33.24861)-INT(ABS(33.24861)))*60)- INT((ABS(33.24861) - INT(ABS(33.24861)))*60))*60), " 0''")</f>
        <v>33°c c14  55</v>
      </c>
      <c r="J733" t="str">
        <f ca="1">TEXT(TRUNC(-111.63361), "0" &amp; CHAR(176) &amp; " ") &amp; TEXT(INT((ABS(-111.63361)- INT(ABS(-111.63361)))*60), "0' ") &amp; TEXT(((((ABS(-111.63361)-INT(ABS(-111.63361)))*60)- INT((ABS(-111.63361) - INT(ABS(-111.63361)))*60))*60), " 0''")</f>
        <v>-111°c c38  1</v>
      </c>
    </row>
    <row r="734" spans="1:10">
      <c r="A734" t="s">
        <v>10</v>
      </c>
      <c r="B734" s="2">
        <v>1200</v>
      </c>
      <c r="C734" t="s">
        <v>11</v>
      </c>
      <c r="D734" t="s">
        <v>1587</v>
      </c>
      <c r="E734" t="s">
        <v>1588</v>
      </c>
      <c r="F734" t="s">
        <v>1086</v>
      </c>
      <c r="G734" t="s">
        <v>75</v>
      </c>
      <c r="H734" s="3">
        <v>39839.570138888892</v>
      </c>
      <c r="I734" t="str">
        <f ca="1">TEXT(TRUNC(47.4666667), "0" &amp; CHAR(176) &amp; " ") &amp; TEXT(INT((ABS(47.4666667)- INT(ABS(47.4666667)))*60), "0' ") &amp; TEXT(((((ABS(47.4666667)-INT(ABS(47.4666667)))*60)- INT((ABS(47.4666667) - INT(ABS(47.4666667)))*60))*60), " 0''")</f>
        <v>47°c c28  0</v>
      </c>
      <c r="J734" t="str">
        <f ca="1">TEXT(TRUNC(8.3), "0" &amp; CHAR(176) &amp; " ") &amp; TEXT(INT((ABS(8.3)- INT(ABS(8.3)))*60), "0' ") &amp; TEXT(((((ABS(8.3)-INT(ABS(8.3)))*60)- INT((ABS(8.3) - INT(ABS(8.3)))*60))*60), " 0''")</f>
        <v>8°c c18  0</v>
      </c>
    </row>
    <row r="735" spans="1:10">
      <c r="A735" t="s">
        <v>10</v>
      </c>
      <c r="B735" s="2">
        <v>1200</v>
      </c>
      <c r="C735" t="s">
        <v>11</v>
      </c>
      <c r="D735" t="s">
        <v>683</v>
      </c>
      <c r="E735" t="s">
        <v>1117</v>
      </c>
      <c r="F735" t="s">
        <v>27</v>
      </c>
      <c r="G735" t="s">
        <v>15</v>
      </c>
      <c r="H735" s="3">
        <v>39839.584722222222</v>
      </c>
      <c r="I735" t="str">
        <f ca="1">TEXT(TRUNC(29.53861), "0" &amp; CHAR(176) &amp; " ") &amp; TEXT(INT((ABS(29.53861)- INT(ABS(29.53861)))*60), "0' ") &amp; TEXT(((((ABS(29.53861)-INT(ABS(29.53861)))*60)- INT((ABS(29.53861) - INT(ABS(29.53861)))*60))*60), " 0''")</f>
        <v>29°c c32  19</v>
      </c>
      <c r="J735" t="str">
        <f ca="1">TEXT(TRUNC(-95.44722), "0" &amp; CHAR(176) &amp; " ") &amp; TEXT(INT((ABS(-95.44722)- INT(ABS(-95.44722)))*60), "0' ") &amp; TEXT(((((ABS(-95.44722)-INT(ABS(-95.44722)))*60)- INT((ABS(-95.44722) - INT(ABS(-95.44722)))*60))*60), " 0''")</f>
        <v>-95°c c26  50</v>
      </c>
    </row>
    <row r="736" spans="1:10">
      <c r="A736" t="s">
        <v>10</v>
      </c>
      <c r="B736" s="2">
        <v>1200</v>
      </c>
      <c r="C736" t="s">
        <v>24</v>
      </c>
      <c r="D736" t="s">
        <v>375</v>
      </c>
      <c r="E736" t="s">
        <v>1589</v>
      </c>
      <c r="F736" t="s">
        <v>45</v>
      </c>
      <c r="G736" t="s">
        <v>15</v>
      </c>
      <c r="H736" s="3">
        <v>39839.609027777777</v>
      </c>
      <c r="I736" t="str">
        <f ca="1">TEXT(TRUNC(29.89444), "0" &amp; CHAR(176) &amp; " ") &amp; TEXT(INT((ABS(29.89444)- INT(ABS(29.89444)))*60), "0' ") &amp; TEXT(((((ABS(29.89444)-INT(ABS(29.89444)))*60)- INT((ABS(29.89444) - INT(ABS(29.89444)))*60))*60), " 0''")</f>
        <v>29°c c53  40</v>
      </c>
      <c r="J736" t="str">
        <f ca="1">TEXT(TRUNC(-81.31472), "0" &amp; CHAR(176) &amp; " ") &amp; TEXT(INT((ABS(-81.31472)- INT(ABS(-81.31472)))*60), "0' ") &amp; TEXT(((((ABS(-81.31472)-INT(ABS(-81.31472)))*60)- INT((ABS(-81.31472) - INT(ABS(-81.31472)))*60))*60), " 0''")</f>
        <v>-81°c c18  53</v>
      </c>
    </row>
    <row r="737" spans="1:10">
      <c r="A737" t="s">
        <v>10</v>
      </c>
      <c r="B737" s="2">
        <v>1200</v>
      </c>
      <c r="C737" t="s">
        <v>24</v>
      </c>
      <c r="D737" t="s">
        <v>1590</v>
      </c>
      <c r="E737" t="s">
        <v>1591</v>
      </c>
      <c r="F737" t="s">
        <v>957</v>
      </c>
      <c r="G737" t="s">
        <v>65</v>
      </c>
      <c r="H737" s="3">
        <v>39839.613194444442</v>
      </c>
      <c r="I737" t="str">
        <f ca="1">TEXT(TRUNC(51.8333333), "0" &amp; CHAR(176) &amp; " ") &amp; TEXT(INT((ABS(51.8333333)- INT(ABS(51.8333333)))*60), "0' ") &amp; TEXT(((((ABS(51.8333333)-INT(ABS(51.8333333)))*60)- INT((ABS(51.8333333) - INT(ABS(51.8333333)))*60))*60), " 0''")</f>
        <v>51°c c49  60</v>
      </c>
      <c r="J737" t="str">
        <f ca="1">TEXT(TRUNC(-9.9), "0" &amp; CHAR(176) &amp; " ") &amp; TEXT(INT((ABS(-9.9)- INT(ABS(-9.9)))*60), "0' ") &amp; TEXT(((((ABS(-9.9)-INT(ABS(-9.9)))*60)- INT((ABS(-9.9) - INT(ABS(-9.9)))*60))*60), " 0''")</f>
        <v>-9°c c54  0</v>
      </c>
    </row>
    <row r="738" spans="1:10">
      <c r="A738" t="s">
        <v>10</v>
      </c>
      <c r="B738" s="2">
        <v>1200</v>
      </c>
      <c r="C738" t="s">
        <v>24</v>
      </c>
      <c r="D738" t="s">
        <v>878</v>
      </c>
      <c r="E738" t="s">
        <v>1592</v>
      </c>
      <c r="F738" t="s">
        <v>567</v>
      </c>
      <c r="G738" t="s">
        <v>15</v>
      </c>
      <c r="H738" s="3">
        <v>39839.636111111111</v>
      </c>
      <c r="I738" t="str">
        <f ca="1">TEXT(TRUNC(35.41056), "0" &amp; CHAR(176) &amp; " ") &amp; TEXT(INT((ABS(35.41056)- INT(ABS(35.41056)))*60), "0' ") &amp; TEXT(((((ABS(35.41056)-INT(ABS(35.41056)))*60)- INT((ABS(35.41056) - INT(ABS(35.41056)))*60))*60), " 0''")</f>
        <v>35°c c24  38</v>
      </c>
      <c r="J738" t="str">
        <f ca="1">TEXT(TRUNC(-80.84306), "0" &amp; CHAR(176) &amp; " ") &amp; TEXT(INT((ABS(-80.84306)- INT(ABS(-80.84306)))*60), "0' ") &amp; TEXT(((((ABS(-80.84306)-INT(ABS(-80.84306)))*60)- INT((ABS(-80.84306) - INT(ABS(-80.84306)))*60))*60), " 0''")</f>
        <v>-80°c c50  35</v>
      </c>
    </row>
    <row r="739" spans="1:10">
      <c r="A739" t="s">
        <v>10</v>
      </c>
      <c r="B739" s="2">
        <v>1200</v>
      </c>
      <c r="C739" t="s">
        <v>24</v>
      </c>
      <c r="D739" t="s">
        <v>1593</v>
      </c>
      <c r="E739" t="s">
        <v>1594</v>
      </c>
      <c r="F739" t="s">
        <v>27</v>
      </c>
      <c r="G739" t="s">
        <v>15</v>
      </c>
      <c r="H739" s="3">
        <v>39839.654166666667</v>
      </c>
      <c r="I739" t="str">
        <f ca="1">TEXT(TRUNC(33.10306), "0" &amp; CHAR(176) &amp; " ") &amp; TEXT(INT((ABS(33.10306)- INT(ABS(33.10306)))*60), "0' ") &amp; TEXT(((((ABS(33.10306)-INT(ABS(33.10306)))*60)- INT((ABS(33.10306) - INT(ABS(33.10306)))*60))*60), " 0''")</f>
        <v>33°c c6  11</v>
      </c>
      <c r="J739" t="str">
        <f ca="1">TEXT(TRUNC(-96.67028), "0" &amp; CHAR(176) &amp; " ") &amp; TEXT(INT((ABS(-96.67028)- INT(ABS(-96.67028)))*60), "0' ") &amp; TEXT(((((ABS(-96.67028)-INT(ABS(-96.67028)))*60)- INT((ABS(-96.67028) - INT(ABS(-96.67028)))*60))*60), " 0''")</f>
        <v>-96°c c40  13</v>
      </c>
    </row>
    <row r="740" spans="1:10">
      <c r="A740" t="s">
        <v>10</v>
      </c>
      <c r="B740" s="2">
        <v>1200</v>
      </c>
      <c r="C740" t="s">
        <v>24</v>
      </c>
      <c r="D740" t="s">
        <v>1595</v>
      </c>
      <c r="E740" t="s">
        <v>1596</v>
      </c>
      <c r="F740" t="s">
        <v>383</v>
      </c>
      <c r="G740" t="s">
        <v>174</v>
      </c>
      <c r="H740" s="3">
        <v>39839.699305555558</v>
      </c>
      <c r="I740" t="str">
        <f ca="1">TEXT(TRUNC(45.9166667), "0" &amp; CHAR(176) &amp; " ") &amp; TEXT(INT((ABS(45.9166667)- INT(ABS(45.9166667)))*60), "0' ") &amp; TEXT(((((ABS(45.9166667)-INT(ABS(45.9166667)))*60)- INT((ABS(45.9166667) - INT(ABS(45.9166667)))*60))*60), " 0''")</f>
        <v>45°c c55  0</v>
      </c>
      <c r="J740" t="str">
        <f ca="1">TEXT(TRUNC(6.8666667), "0" &amp; CHAR(176) &amp; " ") &amp; TEXT(INT((ABS(6.8666667)- INT(ABS(6.8666667)))*60), "0' ") &amp; TEXT(((((ABS(6.8666667)-INT(ABS(6.8666667)))*60)- INT((ABS(6.8666667) - INT(ABS(6.8666667)))*60))*60), " 0''")</f>
        <v>6°c c52  0</v>
      </c>
    </row>
    <row r="741" spans="1:10">
      <c r="A741" t="s">
        <v>10</v>
      </c>
      <c r="B741" s="2">
        <v>1200</v>
      </c>
      <c r="C741" t="s">
        <v>24</v>
      </c>
      <c r="D741" t="s">
        <v>1597</v>
      </c>
      <c r="E741" t="s">
        <v>1598</v>
      </c>
      <c r="F741" t="s">
        <v>45</v>
      </c>
      <c r="G741" t="s">
        <v>15</v>
      </c>
      <c r="H741" s="3">
        <v>39839.776388888888</v>
      </c>
      <c r="I741" t="str">
        <f ca="1">TEXT(TRUNC(26.01083), "0" &amp; CHAR(176) &amp; " ") &amp; TEXT(INT((ABS(26.01083)- INT(ABS(26.01083)))*60), "0' ") &amp; TEXT(((((ABS(26.01083)-INT(ABS(26.01083)))*60)- INT((ABS(26.01083) - INT(ABS(26.01083)))*60))*60), " 0''")</f>
        <v>26°c c0  39</v>
      </c>
      <c r="J741" t="str">
        <f ca="1">TEXT(TRUNC(-80.14972), "0" &amp; CHAR(176) &amp; " ") &amp; TEXT(INT((ABS(-80.14972)- INT(ABS(-80.14972)))*60), "0' ") &amp; TEXT(((((ABS(-80.14972)-INT(ABS(-80.14972)))*60)- INT((ABS(-80.14972) - INT(ABS(-80.14972)))*60))*60), " 0''")</f>
        <v>-80°c c8  59</v>
      </c>
    </row>
    <row r="742" spans="1:10">
      <c r="A742" t="s">
        <v>10</v>
      </c>
      <c r="B742" s="2">
        <v>1200</v>
      </c>
      <c r="C742" t="s">
        <v>11</v>
      </c>
      <c r="D742" t="s">
        <v>729</v>
      </c>
      <c r="E742" t="s">
        <v>1599</v>
      </c>
      <c r="F742" t="s">
        <v>267</v>
      </c>
      <c r="G742" t="s">
        <v>49</v>
      </c>
      <c r="H742" s="3">
        <v>39839.845833333333</v>
      </c>
      <c r="I742" t="str">
        <f ca="1">TEXT(TRUNC(-34.2833333), "0" &amp; CHAR(176) &amp; " ") &amp; TEXT(INT((ABS(-34.2833333)- INT(ABS(-34.2833333)))*60), "0' ") &amp; TEXT(((((ABS(-34.2833333)-INT(ABS(-34.2833333)))*60)- INT((ABS(-34.2833333) - INT(ABS(-34.2833333)))*60))*60), " 0''")</f>
        <v>-34°c c16  60</v>
      </c>
      <c r="J742" t="str">
        <f ca="1">TEXT(TRUNC(146.0333333), "0" &amp; CHAR(176) &amp; " ") &amp; TEXT(INT((ABS(146.0333333)- INT(ABS(146.0333333)))*60), "0' ") &amp; TEXT(((((ABS(146.0333333)-INT(ABS(146.0333333)))*60)- INT((ABS(146.0333333) - INT(ABS(146.0333333)))*60))*60), " 0''")</f>
        <v>146°c c1  60</v>
      </c>
    </row>
    <row r="743" spans="1:10">
      <c r="A743" t="s">
        <v>10</v>
      </c>
      <c r="B743" s="2">
        <v>1200</v>
      </c>
      <c r="C743" t="s">
        <v>11</v>
      </c>
      <c r="D743" t="s">
        <v>1600</v>
      </c>
      <c r="E743" t="s">
        <v>1601</v>
      </c>
      <c r="F743" t="s">
        <v>1602</v>
      </c>
      <c r="G743" t="s">
        <v>15</v>
      </c>
      <c r="H743" s="3">
        <v>39839.865972222222</v>
      </c>
      <c r="I743" t="str">
        <f ca="1">TEXT(TRUNC(40.8), "0" &amp; CHAR(176) &amp; " ") &amp; TEXT(INT((ABS(40.8)- INT(ABS(40.8)))*60), "0' ") &amp; TEXT(((((ABS(40.8)-INT(ABS(40.8)))*60)- INT((ABS(40.8) - INT(ABS(40.8)))*60))*60), " 0''")</f>
        <v>40°c c47  60</v>
      </c>
      <c r="J743" t="str">
        <f ca="1">TEXT(TRUNC(-96.66667), "0" &amp; CHAR(176) &amp; " ") &amp; TEXT(INT((ABS(-96.66667)- INT(ABS(-96.66667)))*60), "0' ") &amp; TEXT(((((ABS(-96.66667)-INT(ABS(-96.66667)))*60)- INT((ABS(-96.66667) - INT(ABS(-96.66667)))*60))*60), " 0''")</f>
        <v>-96°c c40  0</v>
      </c>
    </row>
    <row r="744" spans="1:10">
      <c r="A744" t="s">
        <v>10</v>
      </c>
      <c r="B744" s="2">
        <v>1200</v>
      </c>
      <c r="C744" t="s">
        <v>33</v>
      </c>
      <c r="D744" t="s">
        <v>1603</v>
      </c>
      <c r="E744" t="s">
        <v>1226</v>
      </c>
      <c r="F744" t="s">
        <v>1226</v>
      </c>
      <c r="G744" t="s">
        <v>1227</v>
      </c>
      <c r="H744" s="3">
        <v>39839.947916666664</v>
      </c>
      <c r="I744" t="str">
        <f ca="1">TEXT(TRUNC(35.685), "0" &amp; CHAR(176) &amp; " ") &amp; TEXT(INT((ABS(35.685)- INT(ABS(35.685)))*60), "0' ") &amp; TEXT(((((ABS(35.685)-INT(ABS(35.685)))*60)- INT((ABS(35.685) - INT(ABS(35.685)))*60))*60), " 0''")</f>
        <v>35°c c41  6</v>
      </c>
      <c r="J744" t="str">
        <f ca="1">TEXT(TRUNC(139.7513889), "0" &amp; CHAR(176) &amp; " ") &amp; TEXT(INT((ABS(139.7513889)- INT(ABS(139.7513889)))*60), "0' ") &amp; TEXT(((((ABS(139.7513889)-INT(ABS(139.7513889)))*60)- INT((ABS(139.7513889) - INT(ABS(139.7513889)))*60))*60), " 0''")</f>
        <v>139°c c45  5</v>
      </c>
    </row>
    <row r="745" spans="1:10">
      <c r="A745" t="s">
        <v>10</v>
      </c>
      <c r="B745" s="2">
        <v>1200</v>
      </c>
      <c r="C745" t="s">
        <v>50</v>
      </c>
      <c r="D745" t="s">
        <v>375</v>
      </c>
      <c r="E745" t="s">
        <v>1608</v>
      </c>
      <c r="F745" t="s">
        <v>27</v>
      </c>
      <c r="G745" t="s">
        <v>15</v>
      </c>
      <c r="H745" s="3">
        <v>39840.101388888892</v>
      </c>
      <c r="I745" t="str">
        <f ca="1">TEXT(TRUNC(33.15667), "0" &amp; CHAR(176) &amp; " ") &amp; TEXT(INT((ABS(33.15667)- INT(ABS(33.15667)))*60), "0' ") &amp; TEXT(((((ABS(33.15667)-INT(ABS(33.15667)))*60)- INT((ABS(33.15667) - INT(ABS(33.15667)))*60))*60), " 0''")</f>
        <v>33°c c9  24</v>
      </c>
      <c r="J745" t="str">
        <f ca="1">TEXT(TRUNC(-94.96806), "0" &amp; CHAR(176) &amp; " ") &amp; TEXT(INT((ABS(-94.96806)- INT(ABS(-94.96806)))*60), "0' ") &amp; TEXT(((((ABS(-94.96806)-INT(ABS(-94.96806)))*60)- INT((ABS(-94.96806) - INT(ABS(-94.96806)))*60))*60), " 0''")</f>
        <v>-94°c c58  5</v>
      </c>
    </row>
    <row r="746" spans="1:10">
      <c r="A746" t="s">
        <v>10</v>
      </c>
      <c r="B746" s="2">
        <v>1200</v>
      </c>
      <c r="C746" t="s">
        <v>24</v>
      </c>
      <c r="D746" t="s">
        <v>1609</v>
      </c>
      <c r="E746" t="s">
        <v>186</v>
      </c>
      <c r="F746" t="s">
        <v>130</v>
      </c>
      <c r="G746" t="s">
        <v>54</v>
      </c>
      <c r="H746" s="3">
        <v>39840.105555555558</v>
      </c>
      <c r="I746" t="str">
        <f ca="1">TEXT(TRUNC(56.4), "0" &amp; CHAR(176) &amp; " ") &amp; TEXT(INT((ABS(56.4)- INT(ABS(56.4)))*60), "0' ") &amp; TEXT(((((ABS(56.4)-INT(ABS(56.4)))*60)- INT((ABS(56.4) - INT(ABS(56.4)))*60))*60), " 0''")</f>
        <v>56°c c23  60</v>
      </c>
      <c r="J746" t="str">
        <f ca="1">TEXT(TRUNC(-3.4333333), "0" &amp; CHAR(176) &amp; " ") &amp; TEXT(INT((ABS(-3.4333333)- INT(ABS(-3.4333333)))*60), "0' ") &amp; TEXT(((((ABS(-3.4333333)-INT(ABS(-3.4333333)))*60)- INT((ABS(-3.4333333) - INT(ABS(-3.4333333)))*60))*60), " 0''")</f>
        <v>-3°c c25  60</v>
      </c>
    </row>
    <row r="747" spans="1:10">
      <c r="A747" t="s">
        <v>10</v>
      </c>
      <c r="B747" s="2">
        <v>1200</v>
      </c>
      <c r="C747" t="s">
        <v>24</v>
      </c>
      <c r="D747" t="s">
        <v>585</v>
      </c>
      <c r="E747" t="s">
        <v>1610</v>
      </c>
      <c r="F747" t="s">
        <v>383</v>
      </c>
      <c r="G747" t="s">
        <v>174</v>
      </c>
      <c r="H747" s="3">
        <v>39840.107638888891</v>
      </c>
      <c r="I747" t="str">
        <f ca="1">TEXT(TRUNC(46.2833333), "0" &amp; CHAR(176) &amp; " ") &amp; TEXT(INT((ABS(46.2833333)- INT(ABS(46.2833333)))*60), "0' ") &amp; TEXT(((((ABS(46.2833333)-INT(ABS(46.2833333)))*60)- INT((ABS(46.2833333) - INT(ABS(46.2833333)))*60))*60), " 0''")</f>
        <v>46°c c16  60</v>
      </c>
      <c r="J747" t="str">
        <f ca="1">TEXT(TRUNC(6.1), "0" &amp; CHAR(176) &amp; " ") &amp; TEXT(INT((ABS(6.1)- INT(ABS(6.1)))*60), "0' ") &amp; TEXT(((((ABS(6.1)-INT(ABS(6.1)))*60)- INT((ABS(6.1) - INT(ABS(6.1)))*60))*60), " 0''")</f>
        <v>6°c c5  60</v>
      </c>
    </row>
    <row r="748" spans="1:10">
      <c r="A748" t="s">
        <v>10</v>
      </c>
      <c r="B748" s="2">
        <v>1200</v>
      </c>
      <c r="C748" t="s">
        <v>24</v>
      </c>
      <c r="D748" t="s">
        <v>1611</v>
      </c>
      <c r="E748" t="s">
        <v>1612</v>
      </c>
      <c r="F748" t="s">
        <v>64</v>
      </c>
      <c r="G748" t="s">
        <v>65</v>
      </c>
      <c r="H748" s="3">
        <v>39840.109722222223</v>
      </c>
      <c r="I748" t="str">
        <f ca="1">TEXT(TRUNC(51.7469444), "0" &amp; CHAR(176) &amp; " ") &amp; TEXT(INT((ABS(51.7469444)- INT(ABS(51.7469444)))*60), "0' ") &amp; TEXT(((((ABS(51.7469444)-INT(ABS(51.7469444)))*60)- INT((ABS(51.7469444) - INT(ABS(51.7469444)))*60))*60), " 0''")</f>
        <v>51°c c44  49</v>
      </c>
      <c r="J748" t="str">
        <f ca="1">TEXT(TRUNC(-8.7425), "0" &amp; CHAR(176) &amp; " ") &amp; TEXT(INT((ABS(-8.7425)- INT(ABS(-8.7425)))*60), "0' ") &amp; TEXT(((((ABS(-8.7425)-INT(ABS(-8.7425)))*60)- INT((ABS(-8.7425) - INT(ABS(-8.7425)))*60))*60), " 0''")</f>
        <v>-8°c c44  33</v>
      </c>
    </row>
    <row r="749" spans="1:10">
      <c r="A749" t="s">
        <v>10</v>
      </c>
      <c r="B749" s="2">
        <v>1200</v>
      </c>
      <c r="C749" t="s">
        <v>24</v>
      </c>
      <c r="D749" t="s">
        <v>1342</v>
      </c>
      <c r="E749" t="s">
        <v>1613</v>
      </c>
      <c r="F749" t="s">
        <v>53</v>
      </c>
      <c r="G749" t="s">
        <v>54</v>
      </c>
      <c r="H749" s="3">
        <v>39840.122916666667</v>
      </c>
      <c r="I749" t="str">
        <f ca="1">TEXT(TRUNC(51.3833333), "0" &amp; CHAR(176) &amp; " ") &amp; TEXT(INT((ABS(51.3833333)- INT(ABS(51.3833333)))*60), "0' ") &amp; TEXT(((((ABS(51.3833333)-INT(ABS(51.3833333)))*60)- INT((ABS(51.3833333) - INT(ABS(51.3833333)))*60))*60), " 0''")</f>
        <v>51°c c22  60</v>
      </c>
      <c r="J749" t="str">
        <f ca="1">TEXT(TRUNC(0.4), "0" &amp; CHAR(176) &amp; " ") &amp; TEXT(INT((ABS(0.4)- INT(ABS(0.4)))*60), "0' ") &amp; TEXT(((((ABS(0.4)-INT(ABS(0.4)))*60)- INT((ABS(0.4) - INT(ABS(0.4)))*60))*60), " 0''")</f>
        <v>0°c c24  0</v>
      </c>
    </row>
    <row r="750" spans="1:10">
      <c r="A750" t="s">
        <v>10</v>
      </c>
      <c r="B750" s="2">
        <v>1200</v>
      </c>
      <c r="C750" t="s">
        <v>11</v>
      </c>
      <c r="D750" t="s">
        <v>471</v>
      </c>
      <c r="E750" t="s">
        <v>1614</v>
      </c>
      <c r="F750" t="s">
        <v>53</v>
      </c>
      <c r="G750" t="s">
        <v>54</v>
      </c>
      <c r="H750" s="3">
        <v>39840.138194444444</v>
      </c>
      <c r="I750" t="str">
        <f ca="1">TEXT(TRUNC(51.2666667), "0" &amp; CHAR(176) &amp; " ") &amp; TEXT(INT((ABS(51.2666667)- INT(ABS(51.2666667)))*60), "0' ") &amp; TEXT(((((ABS(51.2666667)-INT(ABS(51.2666667)))*60)- INT((ABS(51.2666667) - INT(ABS(51.2666667)))*60))*60), " 0''")</f>
        <v>51°c c16  0</v>
      </c>
      <c r="J750" t="str">
        <f ca="1">TEXT(TRUNC(1.0833333), "0" &amp; CHAR(176) &amp; " ") &amp; TEXT(INT((ABS(1.0833333)- INT(ABS(1.0833333)))*60), "0' ") &amp; TEXT(((((ABS(1.0833333)-INT(ABS(1.0833333)))*60)- INT((ABS(1.0833333) - INT(ABS(1.0833333)))*60))*60), " 0''")</f>
        <v>1°c c4  60</v>
      </c>
    </row>
    <row r="751" spans="1:10">
      <c r="A751" t="s">
        <v>10</v>
      </c>
      <c r="B751" s="2">
        <v>1200</v>
      </c>
      <c r="C751" t="s">
        <v>33</v>
      </c>
      <c r="D751" t="s">
        <v>1617</v>
      </c>
      <c r="E751" t="s">
        <v>1618</v>
      </c>
      <c r="F751" t="s">
        <v>357</v>
      </c>
      <c r="G751" t="s">
        <v>209</v>
      </c>
      <c r="H751" s="3">
        <v>39840.163194444445</v>
      </c>
      <c r="I751" t="str">
        <f ca="1">TEXT(TRUNC(59.4166667), "0" &amp; CHAR(176) &amp; " ") &amp; TEXT(INT((ABS(59.4166667)- INT(ABS(59.4166667)))*60), "0' ") &amp; TEXT(((((ABS(59.4166667)-INT(ABS(59.4166667)))*60)- INT((ABS(59.4166667) - INT(ABS(59.4166667)))*60))*60), " 0''")</f>
        <v>59°c c25  0</v>
      </c>
      <c r="J751" t="str">
        <f ca="1">TEXT(TRUNC(18.0166667), "0" &amp; CHAR(176) &amp; " ") &amp; TEXT(INT((ABS(18.0166667)- INT(ABS(18.0166667)))*60), "0' ") &amp; TEXT(((((ABS(18.0166667)-INT(ABS(18.0166667)))*60)- INT((ABS(18.0166667) - INT(ABS(18.0166667)))*60))*60), " 0''")</f>
        <v>18°c c1  0</v>
      </c>
    </row>
    <row r="752" spans="1:10">
      <c r="A752" t="s">
        <v>10</v>
      </c>
      <c r="B752" s="2">
        <v>1200</v>
      </c>
      <c r="C752" t="s">
        <v>24</v>
      </c>
      <c r="D752" t="s">
        <v>1619</v>
      </c>
      <c r="E752" t="s">
        <v>1620</v>
      </c>
      <c r="F752" t="s">
        <v>53</v>
      </c>
      <c r="G752" t="s">
        <v>54</v>
      </c>
      <c r="H752" s="3">
        <v>39840.215277777781</v>
      </c>
      <c r="I752" t="str">
        <f ca="1">TEXT(TRUNC(51.5), "0" &amp; CHAR(176) &amp; " ") &amp; TEXT(INT((ABS(51.5)- INT(ABS(51.5)))*60), "0' ") &amp; TEXT(((((ABS(51.5)-INT(ABS(51.5)))*60)- INT((ABS(51.5) - INT(ABS(51.5)))*60))*60), " 0''")</f>
        <v>51°c c30  0</v>
      </c>
      <c r="J752" t="str">
        <f ca="1">TEXT(TRUNC(-0.5833333), "0" &amp; CHAR(176) &amp; " ") &amp; TEXT(INT((ABS(-0.5833333)- INT(ABS(-0.5833333)))*60), "0' ") &amp; TEXT(((((ABS(-0.5833333)-INT(ABS(-0.5833333)))*60)- INT((ABS(-0.5833333) - INT(ABS(-0.5833333)))*60))*60), " 0''")</f>
        <v>0°c c34  60</v>
      </c>
    </row>
    <row r="753" spans="1:10">
      <c r="A753" t="s">
        <v>10</v>
      </c>
      <c r="B753" s="2">
        <v>1200</v>
      </c>
      <c r="C753" t="s">
        <v>11</v>
      </c>
      <c r="D753" t="s">
        <v>1621</v>
      </c>
      <c r="E753" t="s">
        <v>1622</v>
      </c>
      <c r="F753" t="s">
        <v>152</v>
      </c>
      <c r="G753" t="s">
        <v>15</v>
      </c>
      <c r="H753" s="3">
        <v>39840.263888888891</v>
      </c>
      <c r="I753" t="str">
        <f ca="1">TEXT(TRUNC(38.81194), "0" &amp; CHAR(176) &amp; " ") &amp; TEXT(INT((ABS(38.81194)- INT(ABS(38.81194)))*60), "0' ") &amp; TEXT(((((ABS(38.81194)-INT(ABS(38.81194)))*60)- INT((ABS(38.81194) - INT(ABS(38.81194)))*60))*60), " 0''")</f>
        <v>38°c c48  43</v>
      </c>
      <c r="J753" t="str">
        <f ca="1">TEXT(TRUNC(-77.63667), "0" &amp; CHAR(176) &amp; " ") &amp; TEXT(INT((ABS(-77.63667)- INT(ABS(-77.63667)))*60), "0' ") &amp; TEXT(((((ABS(-77.63667)-INT(ABS(-77.63667)))*60)- INT((ABS(-77.63667) - INT(ABS(-77.63667)))*60))*60), " 0''")</f>
        <v>-77°c c38  12</v>
      </c>
    </row>
    <row r="754" spans="1:10">
      <c r="A754" t="s">
        <v>10</v>
      </c>
      <c r="B754" s="2">
        <v>1200</v>
      </c>
      <c r="C754" t="s">
        <v>11</v>
      </c>
      <c r="D754" t="s">
        <v>1623</v>
      </c>
      <c r="E754" t="s">
        <v>1624</v>
      </c>
      <c r="F754" t="s">
        <v>14</v>
      </c>
      <c r="G754" t="s">
        <v>15</v>
      </c>
      <c r="H754" s="3">
        <v>39840.268055555556</v>
      </c>
      <c r="I754" t="str">
        <f ca="1">TEXT(TRUNC(42.88639), "0" &amp; CHAR(176) &amp; " ") &amp; TEXT(INT((ABS(42.88639)- INT(ABS(42.88639)))*60), "0' ") &amp; TEXT(((((ABS(42.88639)-INT(ABS(42.88639)))*60)- INT((ABS(42.88639) - INT(ABS(42.88639)))*60))*60), " 0''")</f>
        <v>42°c c53  11</v>
      </c>
      <c r="J754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755" spans="1:10">
      <c r="A755" t="s">
        <v>10</v>
      </c>
      <c r="B755" s="2">
        <v>1200</v>
      </c>
      <c r="C755" t="s">
        <v>24</v>
      </c>
      <c r="D755" t="s">
        <v>1625</v>
      </c>
      <c r="E755" t="s">
        <v>1626</v>
      </c>
      <c r="F755" t="s">
        <v>57</v>
      </c>
      <c r="G755" t="s">
        <v>15</v>
      </c>
      <c r="H755" s="3">
        <v>39840.34097222222</v>
      </c>
      <c r="I755" t="str">
        <f ca="1">TEXT(TRUNC(37.54833), "0" &amp; CHAR(176) &amp; " ") &amp; TEXT(INT((ABS(37.54833)- INT(ABS(37.54833)))*60), "0' ") &amp; TEXT(((((ABS(37.54833)-INT(ABS(37.54833)))*60)- INT((ABS(37.54833) - INT(ABS(37.54833)))*60))*60), " 0''")</f>
        <v>37°c c32  54</v>
      </c>
      <c r="J755" t="str">
        <f ca="1">TEXT(TRUNC(-121.9875), "0" &amp; CHAR(176) &amp; " ") &amp; TEXT(INT((ABS(-121.9875)- INT(ABS(-121.9875)))*60), "0' ") &amp; TEXT(((((ABS(-121.9875)-INT(ABS(-121.9875)))*60)- INT((ABS(-121.9875) - INT(ABS(-121.9875)))*60))*60), " 0''")</f>
        <v>-121°c c59  15</v>
      </c>
    </row>
    <row r="756" spans="1:10">
      <c r="A756" t="s">
        <v>10</v>
      </c>
      <c r="B756" s="2">
        <v>1200</v>
      </c>
      <c r="C756" t="s">
        <v>24</v>
      </c>
      <c r="D756" t="s">
        <v>1627</v>
      </c>
      <c r="E756" t="s">
        <v>973</v>
      </c>
      <c r="F756" t="s">
        <v>974</v>
      </c>
      <c r="G756" t="s">
        <v>159</v>
      </c>
      <c r="H756" s="3">
        <v>39840.375694444447</v>
      </c>
      <c r="I756" t="str">
        <f ca="1">TEXT(TRUNC(41.3833333), "0" &amp; CHAR(176) &amp; " ") &amp; TEXT(INT((ABS(41.3833333)- INT(ABS(41.3833333)))*60), "0' ") &amp; TEXT(((((ABS(41.3833333)-INT(ABS(41.3833333)))*60)- INT((ABS(41.3833333) - INT(ABS(41.3833333)))*60))*60), " 0''")</f>
        <v>41°c c22  60</v>
      </c>
      <c r="J756" t="str">
        <f ca="1">TEXT(TRUNC(2.1833333), "0" &amp; CHAR(176) &amp; " ") &amp; TEXT(INT((ABS(2.1833333)- INT(ABS(2.1833333)))*60), "0' ") &amp; TEXT(((((ABS(2.1833333)-INT(ABS(2.1833333)))*60)- INT((ABS(2.1833333) - INT(ABS(2.1833333)))*60))*60), " 0''")</f>
        <v>2°c c10  60</v>
      </c>
    </row>
    <row r="757" spans="1:10">
      <c r="A757" t="s">
        <v>10</v>
      </c>
      <c r="B757" s="2">
        <v>1200</v>
      </c>
      <c r="C757" t="s">
        <v>11</v>
      </c>
      <c r="D757" t="s">
        <v>1628</v>
      </c>
      <c r="E757" t="s">
        <v>709</v>
      </c>
      <c r="F757" t="s">
        <v>709</v>
      </c>
      <c r="G757" t="s">
        <v>159</v>
      </c>
      <c r="H757" s="3">
        <v>39840.459722222222</v>
      </c>
      <c r="I757" t="str">
        <f ca="1">TEXT(TRUNC(40.4), "0" &amp; CHAR(176) &amp; " ") &amp; TEXT(INT((ABS(40.4)- INT(ABS(40.4)))*60), "0' ") &amp; TEXT(((((ABS(40.4)-INT(ABS(40.4)))*60)- INT((ABS(40.4) - INT(ABS(40.4)))*60))*60), " 0''")</f>
        <v>40°c c23  60</v>
      </c>
      <c r="J757" t="str">
        <f ca="1">TEXT(TRUNC(-3.6833333), "0" &amp; CHAR(176) &amp; " ") &amp; TEXT(INT((ABS(-3.6833333)- INT(ABS(-3.6833333)))*60), "0' ") &amp; TEXT(((((ABS(-3.6833333)-INT(ABS(-3.6833333)))*60)- INT((ABS(-3.6833333) - INT(ABS(-3.6833333)))*60))*60), " 0''")</f>
        <v>-3°c c40  60</v>
      </c>
    </row>
    <row r="758" spans="1:10">
      <c r="A758" t="s">
        <v>10</v>
      </c>
      <c r="B758" s="2">
        <v>1200</v>
      </c>
      <c r="C758" t="s">
        <v>11</v>
      </c>
      <c r="D758" t="s">
        <v>1629</v>
      </c>
      <c r="E758" t="s">
        <v>1630</v>
      </c>
      <c r="F758" t="s">
        <v>57</v>
      </c>
      <c r="G758" t="s">
        <v>15</v>
      </c>
      <c r="H758" s="3">
        <v>39840.472916666666</v>
      </c>
      <c r="I758" t="str">
        <f ca="1">TEXT(TRUNC(34.04806), "0" &amp; CHAR(176) &amp; " ") &amp; TEXT(INT((ABS(34.04806)- INT(ABS(34.04806)))*60), "0' ") &amp; TEXT(((((ABS(34.04806)-INT(ABS(34.04806)))*60)- INT((ABS(34.04806) - INT(ABS(34.04806)))*60))*60), " 0''")</f>
        <v>34°c c2  53</v>
      </c>
      <c r="J758" t="str">
        <f ca="1">TEXT(TRUNC(-118.52556), "0" &amp; CHAR(176) &amp; " ") &amp; TEXT(INT((ABS(-118.52556)- INT(ABS(-118.52556)))*60), "0' ") &amp; TEXT(((((ABS(-118.52556)-INT(ABS(-118.52556)))*60)- INT((ABS(-118.52556) - INT(ABS(-118.52556)))*60))*60), " 0''")</f>
        <v>-118°c c31  32</v>
      </c>
    </row>
    <row r="759" spans="1:10">
      <c r="A759" t="s">
        <v>10</v>
      </c>
      <c r="B759" s="2">
        <v>1200</v>
      </c>
      <c r="C759" t="s">
        <v>24</v>
      </c>
      <c r="D759" t="s">
        <v>1631</v>
      </c>
      <c r="E759" t="s">
        <v>821</v>
      </c>
      <c r="F759" t="s">
        <v>821</v>
      </c>
      <c r="G759" t="s">
        <v>65</v>
      </c>
      <c r="H759" s="3">
        <v>39840.501388888886</v>
      </c>
      <c r="I759" t="str">
        <f ca="1">TEXT(TRUNC(52.2583333), "0" &amp; CHAR(176) &amp; " ") &amp; TEXT(INT((ABS(52.2583333)- INT(ABS(52.2583333)))*60), "0' ") &amp; TEXT(((((ABS(52.2583333)-INT(ABS(52.2583333)))*60)- INT((ABS(52.2583333) - INT(ABS(52.2583333)))*60))*60), " 0''")</f>
        <v>52°c c15  30</v>
      </c>
      <c r="J759" t="str">
        <f ca="1">TEXT(TRUNC(-7.1119444), "0" &amp; CHAR(176) &amp; " ") &amp; TEXT(INT((ABS(-7.1119444)- INT(ABS(-7.1119444)))*60), "0' ") &amp; TEXT(((((ABS(-7.1119444)-INT(ABS(-7.1119444)))*60)- INT((ABS(-7.1119444) - INT(ABS(-7.1119444)))*60))*60), " 0''")</f>
        <v>-7°c c6  43</v>
      </c>
    </row>
    <row r="760" spans="1:10">
      <c r="A760" t="s">
        <v>10</v>
      </c>
      <c r="B760" s="2">
        <v>1200</v>
      </c>
      <c r="C760" t="s">
        <v>24</v>
      </c>
      <c r="D760" t="s">
        <v>1632</v>
      </c>
      <c r="E760" t="s">
        <v>29</v>
      </c>
      <c r="F760" t="s">
        <v>30</v>
      </c>
      <c r="G760" t="s">
        <v>31</v>
      </c>
      <c r="H760" s="3">
        <v>39840.532638888886</v>
      </c>
      <c r="I760" t="str">
        <f ca="1">TEXT(TRUNC(52.35), "0" &amp; CHAR(176) &amp; " ") &amp; TEXT(INT((ABS(52.35)- INT(ABS(52.35)))*60), "0' ") &amp; TEXT(((((ABS(52.35)-INT(ABS(52.35)))*60)- INT((ABS(52.35) - INT(ABS(52.35)))*60))*60), " 0''")</f>
        <v>52°c c21  0</v>
      </c>
      <c r="J760" t="str">
        <f ca="1">TEXT(TRUNC(4.9166667), "0" &amp; CHAR(176) &amp; " ") &amp; TEXT(INT((ABS(4.9166667)- INT(ABS(4.9166667)))*60), "0' ") &amp; TEXT(((((ABS(4.9166667)-INT(ABS(4.9166667)))*60)- INT((ABS(4.9166667) - INT(ABS(4.9166667)))*60))*60), " 0''")</f>
        <v>4°c c55  0</v>
      </c>
    </row>
    <row r="761" spans="1:10">
      <c r="A761" t="s">
        <v>10</v>
      </c>
      <c r="B761" s="2">
        <v>1200</v>
      </c>
      <c r="C761" t="s">
        <v>11</v>
      </c>
      <c r="D761" t="s">
        <v>1196</v>
      </c>
      <c r="E761" t="s">
        <v>388</v>
      </c>
      <c r="F761" t="s">
        <v>388</v>
      </c>
      <c r="G761" t="s">
        <v>75</v>
      </c>
      <c r="H761" s="3">
        <v>39840.547222222223</v>
      </c>
      <c r="I761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761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762" spans="1:10">
      <c r="A762" t="s">
        <v>10</v>
      </c>
      <c r="B762" s="2">
        <v>1200</v>
      </c>
      <c r="C762" t="s">
        <v>24</v>
      </c>
      <c r="D762" t="s">
        <v>1634</v>
      </c>
      <c r="E762" t="s">
        <v>1635</v>
      </c>
      <c r="F762" t="s">
        <v>931</v>
      </c>
      <c r="G762" t="s">
        <v>15</v>
      </c>
      <c r="H762" s="3">
        <v>39840.63125</v>
      </c>
      <c r="I762" t="str">
        <f ca="1">TEXT(TRUNC(43.55222), "0" &amp; CHAR(176) &amp; " ") &amp; TEXT(INT((ABS(43.55222)- INT(ABS(43.55222)))*60), "0' ") &amp; TEXT(((((ABS(43.55222)-INT(ABS(43.55222)))*60)- INT((ABS(43.55222) - INT(ABS(43.55222)))*60))*60), " 0''")</f>
        <v>43°c c33  8</v>
      </c>
      <c r="J762" t="str">
        <f ca="1">TEXT(TRUNC(-87.96167), "0" &amp; CHAR(176) &amp; " ") &amp; TEXT(INT((ABS(-87.96167)- INT(ABS(-87.96167)))*60), "0' ") &amp; TEXT(((((ABS(-87.96167)-INT(ABS(-87.96167)))*60)- INT((ABS(-87.96167) - INT(ABS(-87.96167)))*60))*60), " 0''")</f>
        <v>-87°c c57  42</v>
      </c>
    </row>
    <row r="763" spans="1:10">
      <c r="A763" t="s">
        <v>10</v>
      </c>
      <c r="B763" s="2">
        <v>1200</v>
      </c>
      <c r="C763" t="s">
        <v>24</v>
      </c>
      <c r="D763" t="s">
        <v>639</v>
      </c>
      <c r="E763" t="s">
        <v>1636</v>
      </c>
      <c r="F763" t="s">
        <v>1637</v>
      </c>
      <c r="G763" t="s">
        <v>15</v>
      </c>
      <c r="H763" s="3">
        <v>39840.644444444442</v>
      </c>
      <c r="I763" t="str">
        <f ca="1">TEXT(TRUNC(35.23778), "0" &amp; CHAR(176) &amp; " ") &amp; TEXT(INT((ABS(35.23778)- INT(ABS(35.23778)))*60), "0' ") &amp; TEXT(((((ABS(35.23778)-INT(ABS(35.23778)))*60)- INT((ABS(35.23778) - INT(ABS(35.23778)))*60))*60), " 0''")</f>
        <v>35°c c14  16</v>
      </c>
      <c r="J763" t="str">
        <f ca="1">TEXT(TRUNC(-106.60611), "0" &amp; CHAR(176) &amp; " ") &amp; TEXT(INT((ABS(-106.60611)- INT(ABS(-106.60611)))*60), "0' ") &amp; TEXT(((((ABS(-106.60611)-INT(ABS(-106.60611)))*60)- INT((ABS(-106.60611) - INT(ABS(-106.60611)))*60))*60), " 0''")</f>
        <v>-106°c c36  22</v>
      </c>
    </row>
    <row r="764" spans="1:10">
      <c r="A764" t="s">
        <v>10</v>
      </c>
      <c r="B764" s="2">
        <v>1200</v>
      </c>
      <c r="C764" t="s">
        <v>24</v>
      </c>
      <c r="D764" t="s">
        <v>1638</v>
      </c>
      <c r="E764" t="s">
        <v>1639</v>
      </c>
      <c r="F764" t="s">
        <v>57</v>
      </c>
      <c r="G764" t="s">
        <v>15</v>
      </c>
      <c r="H764" s="3">
        <v>39840.701388888891</v>
      </c>
      <c r="I764" t="str">
        <f ca="1">TEXT(TRUNC(34.18972), "0" &amp; CHAR(176) &amp; " ") &amp; TEXT(INT((ABS(34.18972)- INT(ABS(34.18972)))*60), "0' ") &amp; TEXT(((((ABS(34.18972)-INT(ABS(34.18972)))*60)- INT((ABS(34.18972) - INT(ABS(34.18972)))*60))*60), " 0''")</f>
        <v>34°c c11  23</v>
      </c>
      <c r="J764" t="str">
        <f ca="1">TEXT(TRUNC(-118.13028), "0" &amp; CHAR(176) &amp; " ") &amp; TEXT(INT((ABS(-118.13028)- INT(ABS(-118.13028)))*60), "0' ") &amp; TEXT(((((ABS(-118.13028)-INT(ABS(-118.13028)))*60)- INT((ABS(-118.13028) - INT(ABS(-118.13028)))*60))*60), " 0''")</f>
        <v>-118°c c7  49</v>
      </c>
    </row>
    <row r="765" spans="1:10">
      <c r="A765" t="s">
        <v>10</v>
      </c>
      <c r="B765" s="2">
        <v>1200</v>
      </c>
      <c r="C765" t="s">
        <v>24</v>
      </c>
      <c r="D765" t="s">
        <v>538</v>
      </c>
      <c r="E765" t="s">
        <v>1640</v>
      </c>
      <c r="F765" t="s">
        <v>1641</v>
      </c>
      <c r="G765" t="s">
        <v>1051</v>
      </c>
      <c r="H765" s="3">
        <v>39840.754166666666</v>
      </c>
      <c r="I765" t="str">
        <f ca="1">TEXT(TRUNC(25.05), "0" &amp; CHAR(176) &amp; " ") &amp; TEXT(INT((ABS(25.05)- INT(ABS(25.05)))*60), "0' ") &amp; TEXT(((((ABS(25.05)-INT(ABS(25.05)))*60)- INT((ABS(25.05) - INT(ABS(25.05)))*60))*60), " 0''")</f>
        <v>25°c c3  0</v>
      </c>
      <c r="J765" t="str">
        <f ca="1">TEXT(TRUNC(-77.4166667), "0" &amp; CHAR(176) &amp; " ") &amp; TEXT(INT((ABS(-77.4166667)- INT(ABS(-77.4166667)))*60), "0' ") &amp; TEXT(((((ABS(-77.4166667)-INT(ABS(-77.4166667)))*60)- INT((ABS(-77.4166667) - INT(ABS(-77.4166667)))*60))*60), " 0''")</f>
        <v>-77°c c25  0</v>
      </c>
    </row>
    <row r="766" spans="1:10">
      <c r="A766" t="s">
        <v>10</v>
      </c>
      <c r="B766" s="2">
        <v>1200</v>
      </c>
      <c r="C766" t="s">
        <v>11</v>
      </c>
      <c r="D766" t="s">
        <v>1642</v>
      </c>
      <c r="E766" t="s">
        <v>1409</v>
      </c>
      <c r="F766" t="s">
        <v>98</v>
      </c>
      <c r="G766" t="s">
        <v>15</v>
      </c>
      <c r="H766" s="3">
        <v>39840.774305555555</v>
      </c>
      <c r="I766" t="str">
        <f ca="1">TEXT(TRUNC(41.98111), "0" &amp; CHAR(176) &amp; " ") &amp; TEXT(INT((ABS(41.98111)- INT(ABS(41.98111)))*60), "0' ") &amp; TEXT(((((ABS(41.98111)-INT(ABS(41.98111)))*60)- INT((ABS(41.98111) - INT(ABS(41.98111)))*60))*60), " 0''")</f>
        <v>41°c c58  52</v>
      </c>
      <c r="J766" t="str">
        <f ca="1">TEXT(TRUNC(-89.595), "0" &amp; CHAR(176) &amp; " ") &amp; TEXT(INT((ABS(-89.595)- INT(ABS(-89.595)))*60), "0' ") &amp; TEXT(((((ABS(-89.595)-INT(ABS(-89.595)))*60)- INT((ABS(-89.595) - INT(ABS(-89.595)))*60))*60), " 0''")</f>
        <v>-89°c c35  42</v>
      </c>
    </row>
    <row r="767" spans="1:10">
      <c r="A767" t="s">
        <v>10</v>
      </c>
      <c r="B767" s="2">
        <v>1200</v>
      </c>
      <c r="C767" t="s">
        <v>24</v>
      </c>
      <c r="D767" t="s">
        <v>1643</v>
      </c>
      <c r="E767" t="s">
        <v>1644</v>
      </c>
      <c r="F767" t="s">
        <v>1645</v>
      </c>
      <c r="G767" t="s">
        <v>75</v>
      </c>
      <c r="H767" s="3">
        <v>39841.015277777777</v>
      </c>
      <c r="I767" t="str">
        <f ca="1">TEXT(TRUNC(47.5666667), "0" &amp; CHAR(176) &amp; " ") &amp; TEXT(INT((ABS(47.5666667)- INT(ABS(47.5666667)))*60), "0' ") &amp; TEXT(((((ABS(47.5666667)-INT(ABS(47.5666667)))*60)- INT((ABS(47.5666667) - INT(ABS(47.5666667)))*60))*60), " 0''")</f>
        <v>47°c c34  0</v>
      </c>
      <c r="J767" t="str">
        <f ca="1">TEXT(TRUNC(7.6), "0" &amp; CHAR(176) &amp; " ") &amp; TEXT(INT((ABS(7.6)- INT(ABS(7.6)))*60), "0' ") &amp; TEXT(((((ABS(7.6)-INT(ABS(7.6)))*60)- INT((ABS(7.6) - INT(ABS(7.6)))*60))*60), " 0''")</f>
        <v>7°c c36  0</v>
      </c>
    </row>
    <row r="768" spans="1:10">
      <c r="A768" t="s">
        <v>10</v>
      </c>
      <c r="B768" s="2">
        <v>1200</v>
      </c>
      <c r="C768" t="s">
        <v>11</v>
      </c>
      <c r="D768" t="s">
        <v>1646</v>
      </c>
      <c r="E768" t="s">
        <v>1647</v>
      </c>
      <c r="F768" t="s">
        <v>45</v>
      </c>
      <c r="G768" t="s">
        <v>15</v>
      </c>
      <c r="H768" s="3">
        <v>39841.027777777781</v>
      </c>
      <c r="I768" t="str">
        <f ca="1">TEXT(TRUNC(30.38444), "0" &amp; CHAR(176) &amp; " ") &amp; TEXT(INT((ABS(30.38444)- INT(ABS(30.38444)))*60), "0' ") &amp; TEXT(((((ABS(30.38444)-INT(ABS(30.38444)))*60)- INT((ABS(30.38444) - INT(ABS(30.38444)))*60))*60), " 0''")</f>
        <v>30°c c23  4</v>
      </c>
      <c r="J768" t="str">
        <f ca="1">TEXT(TRUNC(-81.93889), "0" &amp; CHAR(176) &amp; " ") &amp; TEXT(INT((ABS(-81.93889)- INT(ABS(-81.93889)))*60), "0' ") &amp; TEXT(((((ABS(-81.93889)-INT(ABS(-81.93889)))*60)- INT((ABS(-81.93889) - INT(ABS(-81.93889)))*60))*60), " 0''")</f>
        <v>-81°c c56  20</v>
      </c>
    </row>
    <row r="769" spans="1:10">
      <c r="A769" t="s">
        <v>10</v>
      </c>
      <c r="B769" s="2">
        <v>1200</v>
      </c>
      <c r="C769" t="s">
        <v>50</v>
      </c>
      <c r="D769" t="s">
        <v>1648</v>
      </c>
      <c r="E769" t="s">
        <v>1649</v>
      </c>
      <c r="F769" t="s">
        <v>1650</v>
      </c>
      <c r="G769" t="s">
        <v>174</v>
      </c>
      <c r="H769" s="3">
        <v>39841.061111111114</v>
      </c>
      <c r="I769" t="str">
        <f ca="1">TEXT(TRUNC(47.25), "0" &amp; CHAR(176) &amp; " ") &amp; TEXT(INT((ABS(47.25)- INT(ABS(47.25)))*60), "0' ") &amp; TEXT(((((ABS(47.25)-INT(ABS(47.25)))*60)- INT((ABS(47.25) - INT(ABS(47.25)))*60))*60), " 0''")</f>
        <v>47°c c15  0</v>
      </c>
      <c r="J769" t="str">
        <f ca="1">TEXT(TRUNC(6.0333333), "0" &amp; CHAR(176) &amp; " ") &amp; TEXT(INT((ABS(6.0333333)- INT(ABS(6.0333333)))*60), "0' ") &amp; TEXT(((((ABS(6.0333333)-INT(ABS(6.0333333)))*60)- INT((ABS(6.0333333) - INT(ABS(6.0333333)))*60))*60), " 0''")</f>
        <v>6°c c1  60</v>
      </c>
    </row>
    <row r="770" spans="1:10">
      <c r="A770" t="s">
        <v>10</v>
      </c>
      <c r="B770" s="2">
        <v>1200</v>
      </c>
      <c r="C770" t="s">
        <v>11</v>
      </c>
      <c r="D770" t="s">
        <v>999</v>
      </c>
      <c r="E770" t="s">
        <v>357</v>
      </c>
      <c r="F770" t="s">
        <v>357</v>
      </c>
      <c r="G770" t="s">
        <v>209</v>
      </c>
      <c r="H770" s="3">
        <v>39841.068055555559</v>
      </c>
      <c r="I770" t="str">
        <f ca="1">TEXT(TRUNC(59.3333333), "0" &amp; CHAR(176) &amp; " ") &amp; TEXT(INT((ABS(59.3333333)- INT(ABS(59.3333333)))*60), "0' ") &amp; TEXT(((((ABS(59.3333333)-INT(ABS(59.3333333)))*60)- INT((ABS(59.3333333) - INT(ABS(59.3333333)))*60))*60), " 0''")</f>
        <v>59°c c19  60</v>
      </c>
      <c r="J770" t="str">
        <f ca="1">TEXT(TRUNC(18.05), "0" &amp; CHAR(176) &amp; " ") &amp; TEXT(INT((ABS(18.05)- INT(ABS(18.05)))*60), "0' ") &amp; TEXT(((((ABS(18.05)-INT(ABS(18.05)))*60)- INT((ABS(18.05) - INT(ABS(18.05)))*60))*60), " 0''")</f>
        <v>18°c c3  0</v>
      </c>
    </row>
    <row r="771" spans="1:10">
      <c r="A771" t="s">
        <v>10</v>
      </c>
      <c r="B771" s="2">
        <v>1200</v>
      </c>
      <c r="C771" t="s">
        <v>24</v>
      </c>
      <c r="D771" t="s">
        <v>25</v>
      </c>
      <c r="E771" t="s">
        <v>1651</v>
      </c>
      <c r="F771" t="s">
        <v>304</v>
      </c>
      <c r="G771" t="s">
        <v>81</v>
      </c>
      <c r="H771" s="3">
        <v>39841.129861111112</v>
      </c>
      <c r="I771" t="str">
        <f ca="1">TEXT(TRUNC(49.2166667), "0" &amp; CHAR(176) &amp; " ") &amp; TEXT(INT((ABS(49.2166667)- INT(ABS(49.2166667)))*60), "0' ") &amp; TEXT(((((ABS(49.2166667)-INT(ABS(49.2166667)))*60)- INT((ABS(49.2166667) - INT(ABS(49.2166667)))*60))*60), " 0''")</f>
        <v>49°c c13  0</v>
      </c>
      <c r="J771" t="str">
        <f ca="1">TEXT(TRUNC(-68.15), "0" &amp; CHAR(176) &amp; " ") &amp; TEXT(INT((ABS(-68.15)- INT(ABS(-68.15)))*60), "0' ") &amp; TEXT(((((ABS(-68.15)-INT(ABS(-68.15)))*60)- INT((ABS(-68.15) - INT(ABS(-68.15)))*60))*60), " 0''")</f>
        <v>-68°c c9  0</v>
      </c>
    </row>
    <row r="772" spans="1:10">
      <c r="A772" t="s">
        <v>10</v>
      </c>
      <c r="B772" s="2">
        <v>1200</v>
      </c>
      <c r="C772" t="s">
        <v>50</v>
      </c>
      <c r="D772" t="s">
        <v>1652</v>
      </c>
      <c r="E772" t="s">
        <v>562</v>
      </c>
      <c r="F772" t="s">
        <v>562</v>
      </c>
      <c r="G772" t="s">
        <v>85</v>
      </c>
      <c r="H772" s="3">
        <v>39841.190972222219</v>
      </c>
      <c r="I772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772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773" spans="1:10">
      <c r="A773" t="s">
        <v>10</v>
      </c>
      <c r="B773" s="2">
        <v>1200</v>
      </c>
      <c r="C773" t="s">
        <v>24</v>
      </c>
      <c r="D773" t="s">
        <v>784</v>
      </c>
      <c r="E773" t="s">
        <v>1655</v>
      </c>
      <c r="F773" t="s">
        <v>53</v>
      </c>
      <c r="G773" t="s">
        <v>54</v>
      </c>
      <c r="H773" s="3">
        <v>39841.296527777777</v>
      </c>
      <c r="I773" t="str">
        <f ca="1">TEXT(TRUNC(52.4), "0" &amp; CHAR(176) &amp; " ") &amp; TEXT(INT((ABS(52.4)- INT(ABS(52.4)))*60), "0' ") &amp; TEXT(((((ABS(52.4)-INT(ABS(52.4)))*60)- INT((ABS(52.4) - INT(ABS(52.4)))*60))*60), " 0''")</f>
        <v>52°c c23  60</v>
      </c>
      <c r="J773" t="str">
        <f ca="1">TEXT(TRUNC(-1.6333333), "0" &amp; CHAR(176) &amp; " ") &amp; TEXT(INT((ABS(-1.6333333)- INT(ABS(-1.6333333)))*60), "0' ") &amp; TEXT(((((ABS(-1.6333333)-INT(ABS(-1.6333333)))*60)- INT((ABS(-1.6333333) - INT(ABS(-1.6333333)))*60))*60), " 0''")</f>
        <v>-1°c c37  60</v>
      </c>
    </row>
    <row r="774" spans="1:10">
      <c r="A774" t="s">
        <v>10</v>
      </c>
      <c r="B774" s="2">
        <v>1200</v>
      </c>
      <c r="C774" t="s">
        <v>24</v>
      </c>
      <c r="D774" t="s">
        <v>1656</v>
      </c>
      <c r="E774" t="s">
        <v>1657</v>
      </c>
      <c r="F774" t="s">
        <v>95</v>
      </c>
      <c r="G774" t="s">
        <v>81</v>
      </c>
      <c r="H774" s="3">
        <v>39841.30972222222</v>
      </c>
      <c r="I774" t="str">
        <f ca="1">TEXT(TRUNC(43.55), "0" &amp; CHAR(176) &amp; " ") &amp; TEXT(INT((ABS(43.55)- INT(ABS(43.55)))*60), "0' ") &amp; TEXT(((((ABS(43.55)-INT(ABS(43.55)))*60)- INT((ABS(43.55) - INT(ABS(43.55)))*60))*60), " 0''")</f>
        <v>43°c c32  60</v>
      </c>
      <c r="J774" t="str">
        <f ca="1">TEXT(TRUNC(-80.25), "0" &amp; CHAR(176) &amp; " ") &amp; TEXT(INT((ABS(-80.25)- INT(ABS(-80.25)))*60), "0' ") &amp; TEXT(((((ABS(-80.25)-INT(ABS(-80.25)))*60)- INT((ABS(-80.25) - INT(ABS(-80.25)))*60))*60), " 0''")</f>
        <v>-80°c c15  0</v>
      </c>
    </row>
    <row r="775" spans="1:10">
      <c r="A775" t="s">
        <v>10</v>
      </c>
      <c r="B775" s="2">
        <v>1200</v>
      </c>
      <c r="C775" t="s">
        <v>24</v>
      </c>
      <c r="D775" t="s">
        <v>1658</v>
      </c>
      <c r="E775" t="s">
        <v>1659</v>
      </c>
      <c r="F775" t="s">
        <v>152</v>
      </c>
      <c r="G775" t="s">
        <v>15</v>
      </c>
      <c r="H775" s="3">
        <v>39841.313194444447</v>
      </c>
      <c r="I775" t="str">
        <f ca="1">TEXT(TRUNC(36.7775), "0" &amp; CHAR(176) &amp; " ") &amp; TEXT(INT((ABS(36.7775)- INT(ABS(36.7775)))*60), "0' ") &amp; TEXT(((((ABS(36.7775)-INT(ABS(36.7775)))*60)- INT((ABS(36.7775) - INT(ABS(36.7775)))*60))*60), " 0''")</f>
        <v>36°c c46  39</v>
      </c>
      <c r="J775" t="str">
        <f ca="1">TEXT(TRUNC(-82.94167), "0" &amp; CHAR(176) &amp; " ") &amp; TEXT(INT((ABS(-82.94167)- INT(ABS(-82.94167)))*60), "0' ") &amp; TEXT(((((ABS(-82.94167)-INT(ABS(-82.94167)))*60)- INT((ABS(-82.94167) - INT(ABS(-82.94167)))*60))*60), " 0''")</f>
        <v>-82°c c56  30</v>
      </c>
    </row>
    <row r="776" spans="1:10">
      <c r="A776" t="s">
        <v>10</v>
      </c>
      <c r="B776" s="2">
        <v>1200</v>
      </c>
      <c r="C776" t="s">
        <v>24</v>
      </c>
      <c r="D776" t="s">
        <v>1660</v>
      </c>
      <c r="E776" t="s">
        <v>1661</v>
      </c>
      <c r="F776" t="s">
        <v>567</v>
      </c>
      <c r="G776" t="s">
        <v>15</v>
      </c>
      <c r="H776" s="3">
        <v>39841.325694444444</v>
      </c>
      <c r="I776" t="str">
        <f ca="1">TEXT(TRUNC(35.0525), "0" &amp; CHAR(176) &amp; " ") &amp; TEXT(INT((ABS(35.0525)- INT(ABS(35.0525)))*60), "0' ") &amp; TEXT(((((ABS(35.0525)-INT(ABS(35.0525)))*60)- INT((ABS(35.0525) - INT(ABS(35.0525)))*60))*60), " 0''")</f>
        <v>35°c c3  9</v>
      </c>
      <c r="J776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777" spans="1:10">
      <c r="A777" t="s">
        <v>10</v>
      </c>
      <c r="B777" s="2">
        <v>1200</v>
      </c>
      <c r="C777" t="s">
        <v>24</v>
      </c>
      <c r="D777" t="s">
        <v>1662</v>
      </c>
      <c r="E777" t="s">
        <v>1663</v>
      </c>
      <c r="F777" t="s">
        <v>197</v>
      </c>
      <c r="G777" t="s">
        <v>15</v>
      </c>
      <c r="H777" s="3">
        <v>39841.368055555555</v>
      </c>
      <c r="I777" t="str">
        <f ca="1">TEXT(TRUNC(36.03306), "0" &amp; CHAR(176) &amp; " ") &amp; TEXT(INT((ABS(36.03306)- INT(ABS(36.03306)))*60), "0' ") &amp; TEXT(((((ABS(36.03306)-INT(ABS(36.03306)))*60)- INT((ABS(36.03306) - INT(ABS(36.03306)))*60))*60), " 0''")</f>
        <v>36°c c1  59</v>
      </c>
      <c r="J777" t="str">
        <f ca="1">TEXT(TRUNC(-86.78278), "0" &amp; CHAR(176) &amp; " ") &amp; TEXT(INT((ABS(-86.78278)- INT(ABS(-86.78278)))*60), "0' ") &amp; TEXT(((((ABS(-86.78278)-INT(ABS(-86.78278)))*60)- INT((ABS(-86.78278) - INT(ABS(-86.78278)))*60))*60), " 0''")</f>
        <v>-86°c c46  58</v>
      </c>
    </row>
    <row r="778" spans="1:10">
      <c r="A778" t="s">
        <v>10</v>
      </c>
      <c r="B778" s="2">
        <v>1200</v>
      </c>
      <c r="C778" t="s">
        <v>24</v>
      </c>
      <c r="D778" t="s">
        <v>1664</v>
      </c>
      <c r="E778" t="s">
        <v>1665</v>
      </c>
      <c r="F778" t="s">
        <v>1666</v>
      </c>
      <c r="G778" t="s">
        <v>1667</v>
      </c>
      <c r="H778" s="3">
        <v>39841.442361111112</v>
      </c>
      <c r="I778" t="str">
        <f ca="1">TEXT(TRUNC(37.9833333), "0" &amp; CHAR(176) &amp; " ") &amp; TEXT(INT((ABS(37.9833333)- INT(ABS(37.9833333)))*60), "0' ") &amp; TEXT(((((ABS(37.9833333)-INT(ABS(37.9833333)))*60)- INT((ABS(37.9833333) - INT(ABS(37.9833333)))*60))*60), " 0''")</f>
        <v>37°c c58  60</v>
      </c>
      <c r="J778" t="str">
        <f ca="1">TEXT(TRUNC(23.7333333), "0" &amp; CHAR(176) &amp; " ") &amp; TEXT(INT((ABS(23.7333333)- INT(ABS(23.7333333)))*60), "0' ") &amp; TEXT(((((ABS(23.7333333)-INT(ABS(23.7333333)))*60)- INT((ABS(23.7333333) - INT(ABS(23.7333333)))*60))*60), " 0''")</f>
        <v>23°c c43  60</v>
      </c>
    </row>
    <row r="779" spans="1:10">
      <c r="A779" t="s">
        <v>10</v>
      </c>
      <c r="B779" s="2">
        <v>1200</v>
      </c>
      <c r="C779" t="s">
        <v>24</v>
      </c>
      <c r="D779" t="s">
        <v>1668</v>
      </c>
      <c r="E779" t="s">
        <v>1669</v>
      </c>
      <c r="F779" t="s">
        <v>259</v>
      </c>
      <c r="G779" t="s">
        <v>15</v>
      </c>
      <c r="H779" s="3">
        <v>39841.47152777778</v>
      </c>
      <c r="I779" t="str">
        <f ca="1">TEXT(TRUNC(39.65361), "0" &amp; CHAR(176) &amp; " ") &amp; TEXT(INT((ABS(39.65361)- INT(ABS(39.65361)))*60), "0' ") &amp; TEXT(((((ABS(39.65361)-INT(ABS(39.65361)))*60)- INT((ABS(39.65361) - INT(ABS(39.65361)))*60))*60), " 0''")</f>
        <v>39°c c39  13</v>
      </c>
      <c r="J779" t="str">
        <f ca="1">TEXT(TRUNC(-105.19056), "0" &amp; CHAR(176) &amp; " ") &amp; TEXT(INT((ABS(-105.19056)- INT(ABS(-105.19056)))*60), "0' ") &amp; TEXT(((((ABS(-105.19056)-INT(ABS(-105.19056)))*60)- INT((ABS(-105.19056) - INT(ABS(-105.19056)))*60))*60), " 0''")</f>
        <v>-105°c c11  26</v>
      </c>
    </row>
    <row r="780" spans="1:10">
      <c r="A780" t="s">
        <v>10</v>
      </c>
      <c r="B780" s="2">
        <v>1200</v>
      </c>
      <c r="C780" t="s">
        <v>50</v>
      </c>
      <c r="D780" t="s">
        <v>1670</v>
      </c>
      <c r="E780" t="s">
        <v>1671</v>
      </c>
      <c r="F780" t="s">
        <v>830</v>
      </c>
      <c r="G780" t="s">
        <v>23</v>
      </c>
      <c r="H780" s="3">
        <v>39841.48333333333</v>
      </c>
      <c r="I780" t="str">
        <f ca="1">TEXT(TRUNC(51.4666667), "0" &amp; CHAR(176) &amp; " ") &amp; TEXT(INT((ABS(51.4666667)- INT(ABS(51.4666667)))*60), "0' ") &amp; TEXT(((((ABS(51.4666667)-INT(ABS(51.4666667)))*60)- INT((ABS(51.4666667) - INT(ABS(51.4666667)))*60))*60), " 0''")</f>
        <v>51°c c28  0</v>
      </c>
      <c r="J780" t="str">
        <f ca="1">TEXT(TRUNC(10.5), "0" &amp; CHAR(176) &amp; " ") &amp; TEXT(INT((ABS(10.5)- INT(ABS(10.5)))*60), "0' ") &amp; TEXT(((((ABS(10.5)-INT(ABS(10.5)))*60)- INT((ABS(10.5) - INT(ABS(10.5)))*60))*60), " 0''")</f>
        <v>10°c c30  0</v>
      </c>
    </row>
    <row r="781" spans="1:10">
      <c r="A781" t="s">
        <v>10</v>
      </c>
      <c r="B781" s="2">
        <v>1200</v>
      </c>
      <c r="C781" t="s">
        <v>50</v>
      </c>
      <c r="D781" t="s">
        <v>1672</v>
      </c>
      <c r="E781" t="s">
        <v>215</v>
      </c>
      <c r="F781" t="s">
        <v>14</v>
      </c>
      <c r="G781" t="s">
        <v>15</v>
      </c>
      <c r="H781" s="3">
        <v>39841.521527777775</v>
      </c>
      <c r="I781" t="str">
        <f ca="1">TEXT(TRUNC(40.65), "0" &amp; CHAR(176) &amp; " ") &amp; TEXT(INT((ABS(40.65)- INT(ABS(40.65)))*60), "0' ") &amp; TEXT(((((ABS(40.65)-INT(ABS(40.65)))*60)- INT((ABS(40.65) - INT(ABS(40.65)))*60))*60), " 0''")</f>
        <v>40°c c38  60</v>
      </c>
      <c r="J781" t="str">
        <f ca="1">TEXT(TRUNC(-73.95), "0" &amp; CHAR(176) &amp; " ") &amp; TEXT(INT((ABS(-73.95)- INT(ABS(-73.95)))*60), "0' ") &amp; TEXT(((((ABS(-73.95)-INT(ABS(-73.95)))*60)- INT((ABS(-73.95) - INT(ABS(-73.95)))*60))*60), " 0''")</f>
        <v>-73°c c57  0</v>
      </c>
    </row>
    <row r="782" spans="1:10">
      <c r="A782" t="s">
        <v>10</v>
      </c>
      <c r="B782" s="2">
        <v>1200</v>
      </c>
      <c r="C782" t="s">
        <v>33</v>
      </c>
      <c r="D782" t="s">
        <v>1674</v>
      </c>
      <c r="E782" t="s">
        <v>1675</v>
      </c>
      <c r="F782" t="s">
        <v>90</v>
      </c>
      <c r="G782" t="s">
        <v>15</v>
      </c>
      <c r="H782" s="3">
        <v>39841.546527777777</v>
      </c>
      <c r="I782" t="str">
        <f ca="1">TEXT(TRUNC(38.6675), "0" &amp; CHAR(176) &amp; " ") &amp; TEXT(INT((ABS(38.6675)- INT(ABS(38.6675)))*60), "0' ") &amp; TEXT(((((ABS(38.6675)-INT(ABS(38.6675)))*60)- INT((ABS(38.6675) - INT(ABS(38.6675)))*60))*60), " 0''")</f>
        <v>38°c c40  3</v>
      </c>
      <c r="J782" t="str">
        <f ca="1">TEXT(TRUNC(-77.02861), "0" &amp; CHAR(176) &amp; " ") &amp; TEXT(INT((ABS(-77.02861)- INT(ABS(-77.02861)))*60), "0' ") &amp; TEXT(((((ABS(-77.02861)-INT(ABS(-77.02861)))*60)- INT((ABS(-77.02861) - INT(ABS(-77.02861)))*60))*60), " 0''")</f>
        <v>-77°c c1  43</v>
      </c>
    </row>
    <row r="783" spans="1:10">
      <c r="A783" t="s">
        <v>10</v>
      </c>
      <c r="B783" s="2">
        <v>1200</v>
      </c>
      <c r="C783" t="s">
        <v>24</v>
      </c>
      <c r="D783" t="s">
        <v>658</v>
      </c>
      <c r="E783" t="s">
        <v>1676</v>
      </c>
      <c r="F783" t="s">
        <v>259</v>
      </c>
      <c r="G783" t="s">
        <v>15</v>
      </c>
      <c r="H783" s="3">
        <v>39841.5625</v>
      </c>
      <c r="I783" t="str">
        <f ca="1">TEXT(TRUNC(39.61333), "0" &amp; CHAR(176) &amp; " ") &amp; TEXT(INT((ABS(39.61333)- INT(ABS(39.61333)))*60), "0' ") &amp; TEXT(((((ABS(39.61333)-INT(ABS(39.61333)))*60)- INT((ABS(39.61333) - INT(ABS(39.61333)))*60))*60), " 0''")</f>
        <v>39°c c36  48</v>
      </c>
      <c r="J783" t="str">
        <f ca="1">TEXT(TRUNC(-105.01611), "0" &amp; CHAR(176) &amp; " ") &amp; TEXT(INT((ABS(-105.01611)- INT(ABS(-105.01611)))*60), "0' ") &amp; TEXT(((((ABS(-105.01611)-INT(ABS(-105.01611)))*60)- INT((ABS(-105.01611) - INT(ABS(-105.01611)))*60))*60), " 0''")</f>
        <v>-105°c c0  58</v>
      </c>
    </row>
    <row r="784" spans="1:10">
      <c r="A784" t="s">
        <v>10</v>
      </c>
      <c r="B784" s="2">
        <v>1200</v>
      </c>
      <c r="C784" t="s">
        <v>24</v>
      </c>
      <c r="D784" t="s">
        <v>1677</v>
      </c>
      <c r="E784" t="s">
        <v>1678</v>
      </c>
      <c r="F784" t="s">
        <v>1679</v>
      </c>
      <c r="G784" t="s">
        <v>643</v>
      </c>
      <c r="H784" s="3">
        <v>39841.589583333334</v>
      </c>
      <c r="I784" t="str">
        <f ca="1">TEXT(TRUNC(52.1666667), "0" &amp; CHAR(176) &amp; " ") &amp; TEXT(INT((ABS(52.1666667)- INT(ABS(52.1666667)))*60), "0' ") &amp; TEXT(((((ABS(52.1666667)-INT(ABS(52.1666667)))*60)- INT((ABS(52.1666667) - INT(ABS(52.1666667)))*60))*60), " 0''")</f>
        <v>52°c c10  0</v>
      </c>
      <c r="J784" t="str">
        <f ca="1">TEXT(TRUNC(20.8333333), "0" &amp; CHAR(176) &amp; " ") &amp; TEXT(INT((ABS(20.8333333)- INT(ABS(20.8333333)))*60), "0' ") &amp; TEXT(((((ABS(20.8333333)-INT(ABS(20.8333333)))*60)- INT((ABS(20.8333333) - INT(ABS(20.8333333)))*60))*60), " 0''")</f>
        <v>20°c c49  60</v>
      </c>
    </row>
    <row r="785" spans="1:10">
      <c r="A785" t="s">
        <v>10</v>
      </c>
      <c r="B785" s="2">
        <v>1200</v>
      </c>
      <c r="C785" t="s">
        <v>11</v>
      </c>
      <c r="D785" t="s">
        <v>1680</v>
      </c>
      <c r="E785" t="s">
        <v>1681</v>
      </c>
      <c r="F785" t="s">
        <v>53</v>
      </c>
      <c r="G785" t="s">
        <v>54</v>
      </c>
      <c r="H785" s="3">
        <v>39841.678472222222</v>
      </c>
      <c r="I785" t="str">
        <f ca="1">TEXT(TRUNC(52.4166667), "0" &amp; CHAR(176) &amp; " ") &amp; TEXT(INT((ABS(52.4166667)- INT(ABS(52.4166667)))*60), "0' ") &amp; TEXT(((((ABS(52.4166667)-INT(ABS(52.4166667)))*60)- INT((ABS(52.4166667) - INT(ABS(52.4166667)))*60))*60), " 0''")</f>
        <v>52°c c25  0</v>
      </c>
      <c r="J785" t="str">
        <f ca="1">TEXT(TRUNC(-1.55), "0" &amp; CHAR(176) &amp; " ") &amp; TEXT(INT((ABS(-1.55)- INT(ABS(-1.55)))*60), "0' ") &amp; TEXT(((((ABS(-1.55)-INT(ABS(-1.55)))*60)- INT((ABS(-1.55) - INT(ABS(-1.55)))*60))*60), " 0''")</f>
        <v>-1°c c33  0</v>
      </c>
    </row>
    <row r="786" spans="1:10">
      <c r="A786" t="s">
        <v>10</v>
      </c>
      <c r="B786" s="2">
        <v>13000</v>
      </c>
      <c r="C786" t="s">
        <v>24</v>
      </c>
      <c r="D786" t="s">
        <v>1682</v>
      </c>
      <c r="E786" t="s">
        <v>258</v>
      </c>
      <c r="F786" t="s">
        <v>259</v>
      </c>
      <c r="G786" t="s">
        <v>15</v>
      </c>
      <c r="H786" s="3">
        <v>39841.75</v>
      </c>
      <c r="I786" t="str">
        <f ca="1">TEXT(TRUNC(39.57917), "0" &amp; CHAR(176) &amp; " ") &amp; TEXT(INT((ABS(39.57917)- INT(ABS(39.57917)))*60), "0' ") &amp; TEXT(((((ABS(39.57917)-INT(ABS(39.57917)))*60)- INT((ABS(39.57917) - INT(ABS(39.57917)))*60))*60), " 0''")</f>
        <v>39°c c34  45</v>
      </c>
      <c r="J786" t="str">
        <f ca="1">TEXT(TRUNC(-104.87639), "0" &amp; CHAR(176) &amp; " ") &amp; TEXT(INT((ABS(-104.87639)- INT(ABS(-104.87639)))*60), "0' ") &amp; TEXT(((((ABS(-104.87639)-INT(ABS(-104.87639)))*60)- INT((ABS(-104.87639) - INT(ABS(-104.87639)))*60))*60), " 0''")</f>
        <v>-104°c c52  35</v>
      </c>
    </row>
    <row r="787" spans="1:10">
      <c r="A787" t="s">
        <v>10</v>
      </c>
      <c r="B787" s="2">
        <v>1200</v>
      </c>
      <c r="C787" t="s">
        <v>24</v>
      </c>
      <c r="D787" t="s">
        <v>1683</v>
      </c>
      <c r="E787" t="s">
        <v>1684</v>
      </c>
      <c r="F787" t="s">
        <v>152</v>
      </c>
      <c r="G787" t="s">
        <v>15</v>
      </c>
      <c r="H787" s="3">
        <v>39841.863888888889</v>
      </c>
      <c r="I787" t="str">
        <f ca="1">TEXT(TRUNC(38.32389), "0" &amp; CHAR(176) &amp; " ") &amp; TEXT(INT((ABS(38.32389)- INT(ABS(38.32389)))*60), "0' ") &amp; TEXT(((((ABS(38.32389)-INT(ABS(38.32389)))*60)- INT((ABS(38.32389) - INT(ABS(38.32389)))*60))*60), " 0''")</f>
        <v>38°c c19  26</v>
      </c>
      <c r="J787" t="str">
        <f ca="1">TEXT(TRUNC(-77.46861), "0" &amp; CHAR(176) &amp; " ") &amp; TEXT(INT((ABS(-77.46861)- INT(ABS(-77.46861)))*60), "0' ") &amp; TEXT(((((ABS(-77.46861)-INT(ABS(-77.46861)))*60)- INT((ABS(-77.46861) - INT(ABS(-77.46861)))*60))*60), " 0''")</f>
        <v>-77°c c28  7</v>
      </c>
    </row>
    <row r="788" spans="1:10">
      <c r="A788" t="s">
        <v>10</v>
      </c>
      <c r="B788" s="2">
        <v>1200</v>
      </c>
      <c r="C788" t="s">
        <v>24</v>
      </c>
      <c r="D788" t="s">
        <v>1685</v>
      </c>
      <c r="E788" t="s">
        <v>519</v>
      </c>
      <c r="F788" t="s">
        <v>27</v>
      </c>
      <c r="G788" t="s">
        <v>15</v>
      </c>
      <c r="H788" s="3">
        <v>39841.874305555553</v>
      </c>
      <c r="I788" t="str">
        <f ca="1">TEXT(TRUNC(30.26694), "0" &amp; CHAR(176) &amp; " ") &amp; TEXT(INT((ABS(30.26694)- INT(ABS(30.26694)))*60), "0' ") &amp; TEXT(((((ABS(30.26694)-INT(ABS(30.26694)))*60)- INT((ABS(30.26694) - INT(ABS(30.26694)))*60))*60), " 0''")</f>
        <v>30°c c16  1</v>
      </c>
      <c r="J788" t="str">
        <f ca="1">TEXT(TRUNC(-97.74278), "0" &amp; CHAR(176) &amp; " ") &amp; TEXT(INT((ABS(-97.74278)- INT(ABS(-97.74278)))*60), "0' ") &amp; TEXT(((((ABS(-97.74278)-INT(ABS(-97.74278)))*60)- INT((ABS(-97.74278) - INT(ABS(-97.74278)))*60))*60), " 0''")</f>
        <v>-97°c c44  34</v>
      </c>
    </row>
    <row r="789" spans="1:10">
      <c r="A789" t="s">
        <v>10</v>
      </c>
      <c r="B789" s="2">
        <v>1200</v>
      </c>
      <c r="C789" t="s">
        <v>24</v>
      </c>
      <c r="D789" t="s">
        <v>1686</v>
      </c>
      <c r="E789" t="s">
        <v>1687</v>
      </c>
      <c r="F789" t="s">
        <v>626</v>
      </c>
      <c r="G789" t="s">
        <v>597</v>
      </c>
      <c r="H789" s="3">
        <v>39841.918055555558</v>
      </c>
      <c r="I789" t="str">
        <f ca="1">TEXT(TRUNC(-39.5916667), "0" &amp; CHAR(176) &amp; " ") &amp; TEXT(INT((ABS(-39.5916667)- INT(ABS(-39.5916667)))*60), "0' ") &amp; TEXT(((((ABS(-39.5916667)-INT(ABS(-39.5916667)))*60)- INT((ABS(-39.5916667) - INT(ABS(-39.5916667)))*60))*60), " 0''")</f>
        <v>-39°c c35  30</v>
      </c>
      <c r="J789" t="str">
        <f ca="1">TEXT(TRUNC(174.2833333), "0" &amp; CHAR(176) &amp; " ") &amp; TEXT(INT((ABS(174.2833333)- INT(ABS(174.2833333)))*60), "0' ") &amp; TEXT(((((ABS(174.2833333)-INT(ABS(174.2833333)))*60)- INT((ABS(174.2833333) - INT(ABS(174.2833333)))*60))*60), " 0''")</f>
        <v>174°c c16  60</v>
      </c>
    </row>
    <row r="790" spans="1:10">
      <c r="A790" t="s">
        <v>10</v>
      </c>
      <c r="B790" s="2">
        <v>1200</v>
      </c>
      <c r="C790" t="s">
        <v>50</v>
      </c>
      <c r="D790" t="s">
        <v>1688</v>
      </c>
      <c r="E790" t="s">
        <v>1689</v>
      </c>
      <c r="F790" t="s">
        <v>237</v>
      </c>
      <c r="G790" t="s">
        <v>75</v>
      </c>
      <c r="H790" s="3">
        <v>39842.042361111111</v>
      </c>
      <c r="I790" t="str">
        <f ca="1">TEXT(TRUNC(46.4), "0" &amp; CHAR(176) &amp; " ") &amp; TEXT(INT((ABS(46.4)- INT(ABS(46.4)))*60), "0' ") &amp; TEXT(((((ABS(46.4)-INT(ABS(46.4)))*60)- INT((ABS(46.4) - INT(ABS(46.4)))*60))*60), " 0''")</f>
        <v>46°c c23  60</v>
      </c>
      <c r="J790" t="str">
        <f ca="1">TEXT(TRUNC(6.1833333), "0" &amp; CHAR(176) &amp; " ") &amp; TEXT(INT((ABS(6.1833333)- INT(ABS(6.1833333)))*60), "0' ") &amp; TEXT(((((ABS(6.1833333)-INT(ABS(6.1833333)))*60)- INT((ABS(6.1833333) - INT(ABS(6.1833333)))*60))*60), " 0''")</f>
        <v>6°c c10  60</v>
      </c>
    </row>
    <row r="791" spans="1:10">
      <c r="A791" t="s">
        <v>10</v>
      </c>
      <c r="B791" s="2">
        <v>1200</v>
      </c>
      <c r="C791" t="s">
        <v>24</v>
      </c>
      <c r="D791" t="s">
        <v>1690</v>
      </c>
      <c r="E791" t="s">
        <v>166</v>
      </c>
      <c r="F791" t="s">
        <v>167</v>
      </c>
      <c r="G791" t="s">
        <v>19</v>
      </c>
      <c r="H791" s="3">
        <v>39842.116666666669</v>
      </c>
      <c r="I791" t="str">
        <f ca="1">TEXT(TRUNC(54.8333333), "0" &amp; CHAR(176) &amp; " ") &amp; TEXT(INT((ABS(54.8333333)- INT(ABS(54.8333333)))*60), "0' ") &amp; TEXT(((((ABS(54.8333333)-INT(ABS(54.8333333)))*60)- INT((ABS(54.8333333) - INT(ABS(54.8333333)))*60))*60), " 0''")</f>
        <v>54°c c49  60</v>
      </c>
      <c r="J791" t="str">
        <f ca="1">TEXT(TRUNC(11.15), "0" &amp; CHAR(176) &amp; " ") &amp; TEXT(INT((ABS(11.15)- INT(ABS(11.15)))*60), "0' ") &amp; TEXT(((((ABS(11.15)-INT(ABS(11.15)))*60)- INT((ABS(11.15) - INT(ABS(11.15)))*60))*60), " 0''")</f>
        <v>11°c c9  0</v>
      </c>
    </row>
    <row r="792" spans="1:10">
      <c r="A792" t="s">
        <v>10</v>
      </c>
      <c r="B792" s="2">
        <v>1200</v>
      </c>
      <c r="C792" t="s">
        <v>33</v>
      </c>
      <c r="D792" t="s">
        <v>1691</v>
      </c>
      <c r="E792" t="s">
        <v>1692</v>
      </c>
      <c r="F792" t="s">
        <v>152</v>
      </c>
      <c r="G792" t="s">
        <v>15</v>
      </c>
      <c r="H792" s="3">
        <v>39842.2125</v>
      </c>
      <c r="I792" t="str">
        <f ca="1">TEXT(TRUNC(38.96944), "0" &amp; CHAR(176) &amp; " ") &amp; TEXT(INT((ABS(38.96944)- INT(ABS(38.96944)))*60), "0' ") &amp; TEXT(((((ABS(38.96944)-INT(ABS(38.96944)))*60)- INT((ABS(38.96944) - INT(ABS(38.96944)))*60))*60), " 0''")</f>
        <v>38°c c58  10</v>
      </c>
      <c r="J792" t="str">
        <f ca="1">TEXT(TRUNC(-77.38639), "0" &amp; CHAR(176) &amp; " ") &amp; TEXT(INT((ABS(-77.38639)- INT(ABS(-77.38639)))*60), "0' ") &amp; TEXT(((((ABS(-77.38639)-INT(ABS(-77.38639)))*60)- INT((ABS(-77.38639) - INT(ABS(-77.38639)))*60))*60), " 0''")</f>
        <v>-77°c c23  11</v>
      </c>
    </row>
    <row r="793" spans="1:10">
      <c r="A793" t="s">
        <v>10</v>
      </c>
      <c r="B793" s="2">
        <v>1200</v>
      </c>
      <c r="C793" t="s">
        <v>50</v>
      </c>
      <c r="D793" t="s">
        <v>255</v>
      </c>
      <c r="E793" t="s">
        <v>1693</v>
      </c>
      <c r="F793" t="s">
        <v>14</v>
      </c>
      <c r="G793" t="s">
        <v>15</v>
      </c>
      <c r="H793" s="3">
        <v>39842.229166666664</v>
      </c>
      <c r="I793" t="str">
        <f ca="1">TEXT(TRUNC(42.44056), "0" &amp; CHAR(176) &amp; " ") &amp; TEXT(INT((ABS(42.44056)- INT(ABS(42.44056)))*60), "0' ") &amp; TEXT(((((ABS(42.44056)-INT(ABS(42.44056)))*60)- INT((ABS(42.44056) - INT(ABS(42.44056)))*60))*60), " 0''")</f>
        <v>42°c c26  26</v>
      </c>
      <c r="J793" t="str">
        <f ca="1">TEXT(TRUNC(-76.49694), "0" &amp; CHAR(176) &amp; " ") &amp; TEXT(INT((ABS(-76.49694)- INT(ABS(-76.49694)))*60), "0' ") &amp; TEXT(((((ABS(-76.49694)-INT(ABS(-76.49694)))*60)- INT((ABS(-76.49694) - INT(ABS(-76.49694)))*60))*60), " 0''")</f>
        <v>-76°c c29  49</v>
      </c>
    </row>
    <row r="794" spans="1:10">
      <c r="A794" t="s">
        <v>10</v>
      </c>
      <c r="B794" s="2">
        <v>1200</v>
      </c>
      <c r="C794" t="s">
        <v>24</v>
      </c>
      <c r="D794" t="s">
        <v>1694</v>
      </c>
      <c r="E794" t="s">
        <v>1695</v>
      </c>
      <c r="F794" t="s">
        <v>57</v>
      </c>
      <c r="G794" t="s">
        <v>15</v>
      </c>
      <c r="H794" s="3">
        <v>39842.238194444442</v>
      </c>
      <c r="I794" t="str">
        <f ca="1">TEXT(TRUNC(37.36889), "0" &amp; CHAR(176) &amp; " ") &amp; TEXT(INT((ABS(37.36889)- INT(ABS(37.36889)))*60), "0' ") &amp; TEXT(((((ABS(37.36889)-INT(ABS(37.36889)))*60)- INT((ABS(37.36889) - INT(ABS(37.36889)))*60))*60), " 0''")</f>
        <v>37°c c22  8</v>
      </c>
      <c r="J794" t="str">
        <f ca="1">TEXT(TRUNC(-122.03528), "0" &amp; CHAR(176) &amp; " ") &amp; TEXT(INT((ABS(-122.03528)- INT(ABS(-122.03528)))*60), "0' ") &amp; TEXT(((((ABS(-122.03528)-INT(ABS(-122.03528)))*60)- INT((ABS(-122.03528) - INT(ABS(-122.03528)))*60))*60), " 0''")</f>
        <v>-122°c c2  7</v>
      </c>
    </row>
    <row r="795" spans="1:10">
      <c r="A795" t="s">
        <v>10</v>
      </c>
      <c r="B795" s="2">
        <v>1200</v>
      </c>
      <c r="C795" t="s">
        <v>11</v>
      </c>
      <c r="D795" t="s">
        <v>1696</v>
      </c>
      <c r="E795" t="s">
        <v>1697</v>
      </c>
      <c r="F795" t="s">
        <v>664</v>
      </c>
      <c r="G795" t="s">
        <v>23</v>
      </c>
      <c r="H795" s="3">
        <v>39842.28402777778</v>
      </c>
      <c r="I795" t="str">
        <f ca="1">TEXT(TRUNC(52.3666667), "0" &amp; CHAR(176) &amp; " ") &amp; TEXT(INT((ABS(52.3666667)- INT(ABS(52.3666667)))*60), "0' ") &amp; TEXT(((((ABS(52.3666667)-INT(ABS(52.3666667)))*60)- INT((ABS(52.3666667) - INT(ABS(52.3666667)))*60))*60), " 0''")</f>
        <v>52°c c22  0</v>
      </c>
      <c r="J795" t="str">
        <f ca="1">TEXT(TRUNC(9.7166667), "0" &amp; CHAR(176) &amp; " ") &amp; TEXT(INT((ABS(9.7166667)- INT(ABS(9.7166667)))*60), "0' ") &amp; TEXT(((((ABS(9.7166667)-INT(ABS(9.7166667)))*60)- INT((ABS(9.7166667) - INT(ABS(9.7166667)))*60))*60), " 0''")</f>
        <v>9°c c43  0</v>
      </c>
    </row>
    <row r="796" spans="1:10">
      <c r="A796" t="s">
        <v>10</v>
      </c>
      <c r="B796" s="2">
        <v>1200</v>
      </c>
      <c r="C796" t="s">
        <v>33</v>
      </c>
      <c r="D796" t="s">
        <v>1698</v>
      </c>
      <c r="E796" t="s">
        <v>1699</v>
      </c>
      <c r="F796" t="s">
        <v>61</v>
      </c>
      <c r="G796" t="s">
        <v>23</v>
      </c>
      <c r="H796" s="3">
        <v>39842.319444444445</v>
      </c>
      <c r="I796" t="str">
        <f ca="1">TEXT(TRUNC(49.55), "0" &amp; CHAR(176) &amp; " ") &amp; TEXT(INT((ABS(49.55)- INT(ABS(49.55)))*60), "0' ") &amp; TEXT(((((ABS(49.55)-INT(ABS(49.55)))*60)- INT((ABS(49.55) - INT(ABS(49.55)))*60))*60), " 0''")</f>
        <v>49°c c32  60</v>
      </c>
      <c r="J796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797" spans="1:10">
      <c r="A797" t="s">
        <v>10</v>
      </c>
      <c r="B797" s="2">
        <v>1200</v>
      </c>
      <c r="C797" t="s">
        <v>11</v>
      </c>
      <c r="D797" t="s">
        <v>585</v>
      </c>
      <c r="E797" t="s">
        <v>1700</v>
      </c>
      <c r="F797" t="s">
        <v>580</v>
      </c>
      <c r="G797" t="s">
        <v>15</v>
      </c>
      <c r="H797" s="3">
        <v>39842.342361111114</v>
      </c>
      <c r="I797" t="str">
        <f ca="1">TEXT(TRUNC(41.28139), "0" &amp; CHAR(176) &amp; " ") &amp; TEXT(INT((ABS(41.28139)- INT(ABS(41.28139)))*60), "0' ") &amp; TEXT(((((ABS(41.28139)-INT(ABS(41.28139)))*60)- INT((ABS(41.28139) - INT(ABS(41.28139)))*60))*60), " 0''")</f>
        <v>41°c c16  53</v>
      </c>
      <c r="J797" t="str">
        <f ca="1">TEXT(TRUNC(-73.49861), "0" &amp; CHAR(176) &amp; " ") &amp; TEXT(INT((ABS(-73.49861)- INT(ABS(-73.49861)))*60), "0' ") &amp; TEXT(((((ABS(-73.49861)-INT(ABS(-73.49861)))*60)- INT((ABS(-73.49861) - INT(ABS(-73.49861)))*60))*60), " 0''")</f>
        <v>-73°c c29  55</v>
      </c>
    </row>
    <row r="798" spans="1:10">
      <c r="A798" t="s">
        <v>10</v>
      </c>
      <c r="B798" s="2">
        <v>1200</v>
      </c>
      <c r="C798" t="s">
        <v>24</v>
      </c>
      <c r="D798" t="s">
        <v>1702</v>
      </c>
      <c r="E798" t="s">
        <v>1703</v>
      </c>
      <c r="F798" t="s">
        <v>57</v>
      </c>
      <c r="G798" t="s">
        <v>15</v>
      </c>
      <c r="H798" s="3">
        <v>39842.421527777777</v>
      </c>
      <c r="I798" t="str">
        <f ca="1">TEXT(TRUNC(34.07361), "0" &amp; CHAR(176) &amp; " ") &amp; TEXT(INT((ABS(34.07361)- INT(ABS(34.07361)))*60), "0' ") &amp; TEXT(((((ABS(34.07361)-INT(ABS(34.07361)))*60)- INT((ABS(34.07361) - INT(ABS(34.07361)))*60))*60), " 0''")</f>
        <v>34°c c4  25</v>
      </c>
      <c r="J798" t="str">
        <f ca="1">TEXT(TRUNC(-118.39944), "0" &amp; CHAR(176) &amp; " ") &amp; TEXT(INT((ABS(-118.39944)- INT(ABS(-118.39944)))*60), "0' ") &amp; TEXT(((((ABS(-118.39944)-INT(ABS(-118.39944)))*60)- INT((ABS(-118.39944) - INT(ABS(-118.39944)))*60))*60), " 0''")</f>
        <v>-118°c c23  58</v>
      </c>
    </row>
    <row r="799" spans="1:10">
      <c r="A799" t="s">
        <v>10</v>
      </c>
      <c r="B799" s="2">
        <v>1200</v>
      </c>
      <c r="C799" t="s">
        <v>24</v>
      </c>
      <c r="D799" t="s">
        <v>1705</v>
      </c>
      <c r="E799" t="s">
        <v>1706</v>
      </c>
      <c r="F799" t="s">
        <v>179</v>
      </c>
      <c r="G799" t="s">
        <v>15</v>
      </c>
      <c r="H799" s="3">
        <v>39842.443055555559</v>
      </c>
      <c r="I799" t="str">
        <f ca="1">TEXT(TRUNC(40.89889), "0" &amp; CHAR(176) &amp; " ") &amp; TEXT(INT((ABS(40.89889)- INT(ABS(40.89889)))*60), "0' ") &amp; TEXT(((((ABS(40.89889)-INT(ABS(40.89889)))*60)- INT((ABS(40.89889) - INT(ABS(40.89889)))*60))*60), " 0''")</f>
        <v>40°c c53  56</v>
      </c>
      <c r="J799" t="str">
        <f ca="1">TEXT(TRUNC(-74.09306), "0" &amp; CHAR(176) &amp; " ") &amp; TEXT(INT((ABS(-74.09306)- INT(ABS(-74.09306)))*60), "0' ") &amp; TEXT(((((ABS(-74.09306)-INT(ABS(-74.09306)))*60)- INT((ABS(-74.09306) - INT(ABS(-74.09306)))*60))*60), " 0''")</f>
        <v>-74°c c5  35</v>
      </c>
    </row>
    <row r="800" spans="1:10">
      <c r="A800" t="s">
        <v>10</v>
      </c>
      <c r="B800" s="2">
        <v>1200</v>
      </c>
      <c r="C800" t="s">
        <v>33</v>
      </c>
      <c r="D800" t="s">
        <v>982</v>
      </c>
      <c r="E800" t="s">
        <v>1189</v>
      </c>
      <c r="F800" t="s">
        <v>68</v>
      </c>
      <c r="G800" t="s">
        <v>15</v>
      </c>
      <c r="H800" s="3">
        <v>39842.506944444445</v>
      </c>
      <c r="I800" t="str">
        <f ca="1">TEXT(TRUNC(47.61056), "0" &amp; CHAR(176) &amp; " ") &amp; TEXT(INT((ABS(47.61056)- INT(ABS(47.61056)))*60), "0' ") &amp; TEXT(((((ABS(47.61056)-INT(ABS(47.61056)))*60)- INT((ABS(47.61056) - INT(ABS(47.61056)))*60))*60), " 0''")</f>
        <v>47°c c36  38</v>
      </c>
      <c r="J800" t="str">
        <f ca="1">TEXT(TRUNC(-122.19944), "0" &amp; CHAR(176) &amp; " ") &amp; TEXT(INT((ABS(-122.19944)- INT(ABS(-122.19944)))*60), "0' ") &amp; TEXT(((((ABS(-122.19944)-INT(ABS(-122.19944)))*60)- INT((ABS(-122.19944) - INT(ABS(-122.19944)))*60))*60), " 0''")</f>
        <v>-122°c c11  58</v>
      </c>
    </row>
    <row r="801" spans="1:10">
      <c r="A801" t="s">
        <v>10</v>
      </c>
      <c r="B801" s="2">
        <v>1200</v>
      </c>
      <c r="C801" t="s">
        <v>11</v>
      </c>
      <c r="D801" t="s">
        <v>752</v>
      </c>
      <c r="E801" t="s">
        <v>1707</v>
      </c>
      <c r="F801" t="s">
        <v>45</v>
      </c>
      <c r="G801" t="s">
        <v>15</v>
      </c>
      <c r="H801" s="3">
        <v>39842.511111111111</v>
      </c>
      <c r="I801" t="str">
        <f ca="1">TEXT(TRUNC(29.47472), "0" &amp; CHAR(176) &amp; " ") &amp; TEXT(INT((ABS(29.47472)- INT(ABS(29.47472)))*60), "0' ") &amp; TEXT(((((ABS(29.47472)-INT(ABS(29.47472)))*60)- INT((ABS(29.47472) - INT(ABS(29.47472)))*60))*60), " 0''")</f>
        <v>29°c c28  29</v>
      </c>
      <c r="J801" t="str">
        <f ca="1">TEXT(TRUNC(-82.86), "0" &amp; CHAR(176) &amp; " ") &amp; TEXT(INT((ABS(-82.86)- INT(ABS(-82.86)))*60), "0' ") &amp; TEXT(((((ABS(-82.86)-INT(ABS(-82.86)))*60)- INT((ABS(-82.86) - INT(ABS(-82.86)))*60))*60), " 0''")</f>
        <v>-82°c c51  36</v>
      </c>
    </row>
    <row r="802" spans="1:10">
      <c r="A802" t="s">
        <v>10</v>
      </c>
      <c r="B802" s="2">
        <v>1200</v>
      </c>
      <c r="C802" t="s">
        <v>11</v>
      </c>
      <c r="D802" t="s">
        <v>1708</v>
      </c>
      <c r="E802" t="s">
        <v>1709</v>
      </c>
      <c r="F802" t="s">
        <v>513</v>
      </c>
      <c r="G802" t="s">
        <v>65</v>
      </c>
      <c r="H802" s="3">
        <v>39842.51875</v>
      </c>
      <c r="I802" t="str">
        <f ca="1">TEXT(TRUNC(53.2594444), "0" &amp; CHAR(176) &amp; " ") &amp; TEXT(INT((ABS(53.2594444)- INT(ABS(53.2594444)))*60), "0' ") &amp; TEXT(((((ABS(53.2594444)-INT(ABS(53.2594444)))*60)- INT((ABS(53.2594444) - INT(ABS(53.2594444)))*60))*60), " 0''")</f>
        <v>53°c c15  34</v>
      </c>
      <c r="J802" t="str">
        <f ca="1">TEXT(TRUNC(-6.1447222), "0" &amp; CHAR(176) &amp; " ") &amp; TEXT(INT((ABS(-6.1447222)- INT(ABS(-6.1447222)))*60), "0' ") &amp; TEXT(((((ABS(-6.1447222)-INT(ABS(-6.1447222)))*60)- INT((ABS(-6.1447222) - INT(ABS(-6.1447222)))*60))*60), " 0''")</f>
        <v>-6°c c8  41</v>
      </c>
    </row>
    <row r="803" spans="1:10">
      <c r="A803" t="s">
        <v>10</v>
      </c>
      <c r="B803" s="2">
        <v>1200</v>
      </c>
      <c r="C803" t="s">
        <v>11</v>
      </c>
      <c r="D803" t="s">
        <v>1710</v>
      </c>
      <c r="E803" t="s">
        <v>1711</v>
      </c>
      <c r="F803" t="s">
        <v>152</v>
      </c>
      <c r="G803" t="s">
        <v>15</v>
      </c>
      <c r="H803" s="3">
        <v>39842.519444444442</v>
      </c>
      <c r="I803" t="str">
        <f ca="1">TEXT(TRUNC(38.99806), "0" &amp; CHAR(176) &amp; " ") &amp; TEXT(INT((ABS(38.99806)- INT(ABS(38.99806)))*60), "0' ") &amp; TEXT(((((ABS(38.99806)-INT(ABS(38.99806)))*60)- INT((ABS(38.99806) - INT(ABS(38.99806)))*60))*60), " 0''")</f>
        <v>38°c c59  53</v>
      </c>
      <c r="J803" t="str">
        <f ca="1">TEXT(TRUNC(-77.28861), "0" &amp; CHAR(176) &amp; " ") &amp; TEXT(INT((ABS(-77.28861)- INT(ABS(-77.28861)))*60), "0' ") &amp; TEXT(((((ABS(-77.28861)-INT(ABS(-77.28861)))*60)- INT((ABS(-77.28861) - INT(ABS(-77.28861)))*60))*60), " 0''")</f>
        <v>-77°c c17  19</v>
      </c>
    </row>
    <row r="804" spans="1:10">
      <c r="A804" t="s">
        <v>10</v>
      </c>
      <c r="B804" s="2">
        <v>1200</v>
      </c>
      <c r="C804" t="s">
        <v>24</v>
      </c>
      <c r="D804" t="s">
        <v>1712</v>
      </c>
      <c r="E804" t="s">
        <v>724</v>
      </c>
      <c r="F804" t="s">
        <v>513</v>
      </c>
      <c r="G804" t="s">
        <v>65</v>
      </c>
      <c r="H804" s="3">
        <v>39842.531944444447</v>
      </c>
      <c r="I804" t="str">
        <f ca="1">TEXT(TRUNC(53.3786111), "0" &amp; CHAR(176) &amp; " ") &amp; TEXT(INT((ABS(53.3786111)- INT(ABS(53.3786111)))*60), "0' ") &amp; TEXT(((((ABS(53.3786111)-INT(ABS(53.3786111)))*60)- INT((ABS(53.3786111) - INT(ABS(53.3786111)))*60))*60), " 0''")</f>
        <v>53°c c22  43</v>
      </c>
      <c r="J804" t="str">
        <f ca="1">TEXT(TRUNC(-6.3922222), "0" &amp; CHAR(176) &amp; " ") &amp; TEXT(INT((ABS(-6.3922222)- INT(ABS(-6.3922222)))*60), "0' ") &amp; TEXT(((((ABS(-6.3922222)-INT(ABS(-6.3922222)))*60)- INT((ABS(-6.3922222) - INT(ABS(-6.3922222)))*60))*60), " 0''")</f>
        <v>-6°c c23  32</v>
      </c>
    </row>
    <row r="805" spans="1:10">
      <c r="A805" t="s">
        <v>10</v>
      </c>
      <c r="B805" s="2">
        <v>1200</v>
      </c>
      <c r="C805" t="s">
        <v>24</v>
      </c>
      <c r="D805" t="s">
        <v>255</v>
      </c>
      <c r="E805" t="s">
        <v>1713</v>
      </c>
      <c r="F805" t="s">
        <v>1650</v>
      </c>
      <c r="G805" t="s">
        <v>174</v>
      </c>
      <c r="H805" s="3">
        <v>39842.536805555559</v>
      </c>
      <c r="I805" t="str">
        <f ca="1">TEXT(TRUNC(47.0333333), "0" &amp; CHAR(176) &amp; " ") &amp; TEXT(INT((ABS(47.0333333)- INT(ABS(47.0333333)))*60), "0' ") &amp; TEXT(((((ABS(47.0333333)-INT(ABS(47.0333333)))*60)- INT((ABS(47.0333333) - INT(ABS(47.0333333)))*60))*60), " 0''")</f>
        <v>47°c c1  60</v>
      </c>
      <c r="J805" t="str">
        <f ca="1">TEXT(TRUNC(5.7666667), "0" &amp; CHAR(176) &amp; " ") &amp; TEXT(INT((ABS(5.7666667)- INT(ABS(5.7666667)))*60), "0' ") &amp; TEXT(((((ABS(5.7666667)-INT(ABS(5.7666667)))*60)- INT((ABS(5.7666667) - INT(ABS(5.7666667)))*60))*60), " 0''")</f>
        <v>5°c c46  0</v>
      </c>
    </row>
    <row r="806" spans="1:10">
      <c r="A806" t="s">
        <v>10</v>
      </c>
      <c r="B806" s="2">
        <v>1200</v>
      </c>
      <c r="C806" t="s">
        <v>50</v>
      </c>
      <c r="D806" t="s">
        <v>1686</v>
      </c>
      <c r="E806" t="s">
        <v>1669</v>
      </c>
      <c r="F806" t="s">
        <v>259</v>
      </c>
      <c r="G806" t="s">
        <v>15</v>
      </c>
      <c r="H806" s="3">
        <v>39842.559027777781</v>
      </c>
      <c r="I806" t="str">
        <f ca="1">TEXT(TRUNC(39.65361), "0" &amp; CHAR(176) &amp; " ") &amp; TEXT(INT((ABS(39.65361)- INT(ABS(39.65361)))*60), "0' ") &amp; TEXT(((((ABS(39.65361)-INT(ABS(39.65361)))*60)- INT((ABS(39.65361) - INT(ABS(39.65361)))*60))*60), " 0''")</f>
        <v>39°c c39  13</v>
      </c>
      <c r="J806" t="str">
        <f ca="1">TEXT(TRUNC(-105.19056), "0" &amp; CHAR(176) &amp; " ") &amp; TEXT(INT((ABS(-105.19056)- INT(ABS(-105.19056)))*60), "0' ") &amp; TEXT(((((ABS(-105.19056)-INT(ABS(-105.19056)))*60)- INT((ABS(-105.19056) - INT(ABS(-105.19056)))*60))*60), " 0''")</f>
        <v>-105°c c11  26</v>
      </c>
    </row>
    <row r="807" spans="1:10">
      <c r="A807" t="s">
        <v>10</v>
      </c>
      <c r="B807" s="2">
        <v>1200</v>
      </c>
      <c r="C807" t="s">
        <v>24</v>
      </c>
      <c r="D807" t="s">
        <v>1585</v>
      </c>
      <c r="E807" t="s">
        <v>139</v>
      </c>
      <c r="F807" t="s">
        <v>140</v>
      </c>
      <c r="G807" t="s">
        <v>15</v>
      </c>
      <c r="H807" s="3">
        <v>39842.560416666667</v>
      </c>
      <c r="I807" t="str">
        <f ca="1">TEXT(TRUNC(40.76083), "0" &amp; CHAR(176) &amp; " ") &amp; TEXT(INT((ABS(40.76083)- INT(ABS(40.76083)))*60), "0' ") &amp; TEXT(((((ABS(40.76083)-INT(ABS(40.76083)))*60)- INT((ABS(40.76083) - INT(ABS(40.76083)))*60))*60), " 0''")</f>
        <v>40°c c45  39</v>
      </c>
      <c r="J807" t="str">
        <f ca="1">TEXT(TRUNC(-111.89028), "0" &amp; CHAR(176) &amp; " ") &amp; TEXT(INT((ABS(-111.89028)- INT(ABS(-111.89028)))*60), "0' ") &amp; TEXT(((((ABS(-111.89028)-INT(ABS(-111.89028)))*60)- INT((ABS(-111.89028) - INT(ABS(-111.89028)))*60))*60), " 0''")</f>
        <v>-111°c c53  25</v>
      </c>
    </row>
    <row r="808" spans="1:10">
      <c r="A808" t="s">
        <v>10</v>
      </c>
      <c r="B808" s="2">
        <v>1200</v>
      </c>
      <c r="C808" t="s">
        <v>24</v>
      </c>
      <c r="D808" t="s">
        <v>1714</v>
      </c>
      <c r="E808" t="s">
        <v>742</v>
      </c>
      <c r="F808" t="s">
        <v>57</v>
      </c>
      <c r="G808" t="s">
        <v>15</v>
      </c>
      <c r="H808" s="3">
        <v>39842.570138888892</v>
      </c>
      <c r="I808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808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809" spans="1:10">
      <c r="A809" t="s">
        <v>10</v>
      </c>
      <c r="B809" s="2">
        <v>1200</v>
      </c>
      <c r="C809" t="s">
        <v>24</v>
      </c>
      <c r="D809" t="s">
        <v>1715</v>
      </c>
      <c r="E809" t="s">
        <v>596</v>
      </c>
      <c r="F809" t="s">
        <v>596</v>
      </c>
      <c r="G809" t="s">
        <v>597</v>
      </c>
      <c r="H809" s="3">
        <v>39842.627083333333</v>
      </c>
      <c r="I809" t="str">
        <f ca="1">TEXT(TRUNC(-36.8666667), "0" &amp; CHAR(176) &amp; " ") &amp; TEXT(INT((ABS(-36.8666667)- INT(ABS(-36.8666667)))*60), "0' ") &amp; TEXT(((((ABS(-36.8666667)-INT(ABS(-36.8666667)))*60)- INT((ABS(-36.8666667) - INT(ABS(-36.8666667)))*60))*60), " 0''")</f>
        <v>-36°c c52  0</v>
      </c>
      <c r="J809" t="str">
        <f ca="1">TEXT(TRUNC(174.7666667), "0" &amp; CHAR(176) &amp; " ") &amp; TEXT(INT((ABS(174.7666667)- INT(ABS(174.7666667)))*60), "0' ") &amp; TEXT(((((ABS(174.7666667)-INT(ABS(174.7666667)))*60)- INT((ABS(174.7666667) - INT(ABS(174.7666667)))*60))*60), " 0''")</f>
        <v>174°c c46  0</v>
      </c>
    </row>
    <row r="810" spans="1:10">
      <c r="A810" t="s">
        <v>10</v>
      </c>
      <c r="B810" s="2">
        <v>1200</v>
      </c>
      <c r="C810" t="s">
        <v>24</v>
      </c>
      <c r="D810" t="s">
        <v>1716</v>
      </c>
      <c r="E810" t="s">
        <v>1695</v>
      </c>
      <c r="F810" t="s">
        <v>57</v>
      </c>
      <c r="G810" t="s">
        <v>15</v>
      </c>
      <c r="H810" s="3">
        <v>39842.630555555559</v>
      </c>
      <c r="I810" t="str">
        <f ca="1">TEXT(TRUNC(37.36889), "0" &amp; CHAR(176) &amp; " ") &amp; TEXT(INT((ABS(37.36889)- INT(ABS(37.36889)))*60), "0' ") &amp; TEXT(((((ABS(37.36889)-INT(ABS(37.36889)))*60)- INT((ABS(37.36889) - INT(ABS(37.36889)))*60))*60), " 0''")</f>
        <v>37°c c22  8</v>
      </c>
      <c r="J810" t="str">
        <f ca="1">TEXT(TRUNC(-122.03528), "0" &amp; CHAR(176) &amp; " ") &amp; TEXT(INT((ABS(-122.03528)- INT(ABS(-122.03528)))*60), "0' ") &amp; TEXT(((((ABS(-122.03528)-INT(ABS(-122.03528)))*60)- INT((ABS(-122.03528) - INT(ABS(-122.03528)))*60))*60), " 0''")</f>
        <v>-122°c c2  7</v>
      </c>
    </row>
    <row r="811" spans="1:10">
      <c r="A811" t="s">
        <v>10</v>
      </c>
      <c r="B811" s="2">
        <v>1200</v>
      </c>
      <c r="C811" t="s">
        <v>11</v>
      </c>
      <c r="D811" t="s">
        <v>1717</v>
      </c>
      <c r="E811" t="s">
        <v>1718</v>
      </c>
      <c r="F811" t="s">
        <v>343</v>
      </c>
      <c r="G811" t="s">
        <v>15</v>
      </c>
      <c r="H811" s="3">
        <v>39842.638888888891</v>
      </c>
      <c r="I811" t="str">
        <f ca="1">TEXT(TRUNC(39.75889), "0" &amp; CHAR(176) &amp; " ") &amp; TEXT(INT((ABS(39.75889)- INT(ABS(39.75889)))*60), "0' ") &amp; TEXT(((((ABS(39.75889)-INT(ABS(39.75889)))*60)- INT((ABS(39.75889) - INT(ABS(39.75889)))*60))*60), " 0''")</f>
        <v>39°c c45  32</v>
      </c>
      <c r="J811" t="str">
        <f ca="1">TEXT(TRUNC(-84.19167), "0" &amp; CHAR(176) &amp; " ") &amp; TEXT(INT((ABS(-84.19167)- INT(ABS(-84.19167)))*60), "0' ") &amp; TEXT(((((ABS(-84.19167)-INT(ABS(-84.19167)))*60)- INT((ABS(-84.19167) - INT(ABS(-84.19167)))*60))*60), " 0''")</f>
        <v>-84°c c11  30</v>
      </c>
    </row>
    <row r="812" spans="1:10">
      <c r="A812" t="s">
        <v>10</v>
      </c>
      <c r="B812" s="2">
        <v>1200</v>
      </c>
      <c r="C812" t="s">
        <v>50</v>
      </c>
      <c r="D812" t="s">
        <v>114</v>
      </c>
      <c r="E812" t="s">
        <v>372</v>
      </c>
      <c r="F812" t="s">
        <v>323</v>
      </c>
      <c r="G812" t="s">
        <v>174</v>
      </c>
      <c r="H812" s="3">
        <v>39842.671527777777</v>
      </c>
      <c r="I812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812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813" spans="1:10">
      <c r="A813" t="s">
        <v>10</v>
      </c>
      <c r="B813" s="2">
        <v>1200</v>
      </c>
      <c r="C813" t="s">
        <v>24</v>
      </c>
      <c r="D813" t="s">
        <v>181</v>
      </c>
      <c r="E813" t="s">
        <v>1719</v>
      </c>
      <c r="F813" t="s">
        <v>774</v>
      </c>
      <c r="G813" t="s">
        <v>15</v>
      </c>
      <c r="H813" s="3">
        <v>39842.702777777777</v>
      </c>
      <c r="I813" t="str">
        <f ca="1">TEXT(TRUNC(34.92472), "0" &amp; CHAR(176) &amp; " ") &amp; TEXT(INT((ABS(34.92472)- INT(ABS(34.92472)))*60), "0' ") &amp; TEXT(((((ABS(34.92472)-INT(ABS(34.92472)))*60)- INT((ABS(34.92472) - INT(ABS(34.92472)))*60))*60), " 0''")</f>
        <v>34°c c55  29</v>
      </c>
      <c r="J813" t="str">
        <f ca="1">TEXT(TRUNC(-81.02528), "0" &amp; CHAR(176) &amp; " ") &amp; TEXT(INT((ABS(-81.02528)- INT(ABS(-81.02528)))*60), "0' ") &amp; TEXT(((((ABS(-81.02528)-INT(ABS(-81.02528)))*60)- INT((ABS(-81.02528) - INT(ABS(-81.02528)))*60))*60), " 0''")</f>
        <v>-81°c c1  31</v>
      </c>
    </row>
    <row r="814" spans="1:10">
      <c r="A814" t="s">
        <v>10</v>
      </c>
      <c r="B814" s="2">
        <v>1200</v>
      </c>
      <c r="C814" t="s">
        <v>33</v>
      </c>
      <c r="D814" t="s">
        <v>1720</v>
      </c>
      <c r="E814" t="s">
        <v>684</v>
      </c>
      <c r="F814" t="s">
        <v>179</v>
      </c>
      <c r="G814" t="s">
        <v>15</v>
      </c>
      <c r="H814" s="3">
        <v>39842.717361111114</v>
      </c>
      <c r="I814" t="str">
        <f ca="1">TEXT(TRUNC(40.92528), "0" &amp; CHAR(176) &amp; " ") &amp; TEXT(INT((ABS(40.92528)- INT(ABS(40.92528)))*60), "0' ") &amp; TEXT(((((ABS(40.92528)-INT(ABS(40.92528)))*60)- INT((ABS(40.92528) - INT(ABS(40.92528)))*60))*60), " 0''")</f>
        <v>40°c c55  31</v>
      </c>
      <c r="J814" t="str">
        <f ca="1">TEXT(TRUNC(-73.96333), "0" &amp; CHAR(176) &amp; " ") &amp; TEXT(INT((ABS(-73.96333)- INT(ABS(-73.96333)))*60), "0' ") &amp; TEXT(((((ABS(-73.96333)-INT(ABS(-73.96333)))*60)- INT((ABS(-73.96333) - INT(ABS(-73.96333)))*60))*60), " 0''")</f>
        <v>-73°c c57  48</v>
      </c>
    </row>
    <row r="815" spans="1:10">
      <c r="A815" t="s">
        <v>10</v>
      </c>
      <c r="B815" s="2">
        <v>1200</v>
      </c>
      <c r="C815" t="s">
        <v>24</v>
      </c>
      <c r="D815" t="s">
        <v>1721</v>
      </c>
      <c r="E815" t="s">
        <v>251</v>
      </c>
      <c r="F815" t="s">
        <v>252</v>
      </c>
      <c r="G815" t="s">
        <v>81</v>
      </c>
      <c r="H815" s="3">
        <v>39842.902777777781</v>
      </c>
      <c r="I815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815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816" spans="1:10">
      <c r="A816" t="s">
        <v>10</v>
      </c>
      <c r="B816" s="2">
        <v>1200</v>
      </c>
      <c r="C816" t="s">
        <v>24</v>
      </c>
      <c r="D816" t="s">
        <v>491</v>
      </c>
      <c r="E816" t="s">
        <v>1722</v>
      </c>
      <c r="F816" t="s">
        <v>53</v>
      </c>
      <c r="G816" t="s">
        <v>54</v>
      </c>
      <c r="H816" s="3">
        <v>39842.991666666669</v>
      </c>
      <c r="I816" t="str">
        <f ca="1">TEXT(TRUNC(52.6333333), "0" &amp; CHAR(176) &amp; " ") &amp; TEXT(INT((ABS(52.6333333)- INT(ABS(52.6333333)))*60), "0' ") &amp; TEXT(((((ABS(52.6333333)-INT(ABS(52.6333333)))*60)- INT((ABS(52.6333333) - INT(ABS(52.6333333)))*60))*60), " 0''")</f>
        <v>52°c c37  60</v>
      </c>
      <c r="J816" t="str">
        <f ca="1">TEXT(TRUNC(-1.1333333), "0" &amp; CHAR(176) &amp; " ") &amp; TEXT(INT((ABS(-1.1333333)- INT(ABS(-1.1333333)))*60), "0' ") &amp; TEXT(((((ABS(-1.1333333)-INT(ABS(-1.1333333)))*60)- INT((ABS(-1.1333333) - INT(ABS(-1.1333333)))*60))*60), " 0''")</f>
        <v>-1°c c7  60</v>
      </c>
    </row>
    <row r="817" spans="1:10">
      <c r="A817" t="s">
        <v>10</v>
      </c>
      <c r="B817" s="2">
        <v>1200</v>
      </c>
      <c r="C817" t="s">
        <v>11</v>
      </c>
      <c r="D817" t="s">
        <v>1723</v>
      </c>
      <c r="E817" t="s">
        <v>1724</v>
      </c>
      <c r="F817" t="s">
        <v>237</v>
      </c>
      <c r="G817" t="s">
        <v>75</v>
      </c>
      <c r="H817" s="3">
        <v>39843.04791666667</v>
      </c>
      <c r="I817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817" t="str">
        <f ca="1">TEXT(TRUNC(7.05), "0" &amp; CHAR(176) &amp; " ") &amp; TEXT(INT((ABS(7.05)- INT(ABS(7.05)))*60), "0' ") &amp; TEXT(((((ABS(7.05)-INT(ABS(7.05)))*60)- INT((ABS(7.05) - INT(ABS(7.05)))*60))*60), " 0''")</f>
        <v>7°c c2  60</v>
      </c>
    </row>
    <row r="818" spans="1:10">
      <c r="A818" t="s">
        <v>10</v>
      </c>
      <c r="B818" s="2">
        <v>1200</v>
      </c>
      <c r="C818" t="s">
        <v>24</v>
      </c>
      <c r="D818" t="s">
        <v>1725</v>
      </c>
      <c r="E818" t="s">
        <v>564</v>
      </c>
      <c r="F818" t="s">
        <v>228</v>
      </c>
      <c r="G818" t="s">
        <v>15</v>
      </c>
      <c r="H818" s="3">
        <v>39843.2</v>
      </c>
      <c r="I818" t="str">
        <f ca="1">TEXT(TRUNC(33.30611), "0" &amp; CHAR(176) &amp; " ") &amp; TEXT(INT((ABS(33.30611)- INT(ABS(33.30611)))*60), "0' ") &amp; TEXT(((((ABS(33.30611)-INT(ABS(33.30611)))*60)- INT((ABS(33.30611) - INT(ABS(33.30611)))*60))*60), " 0''")</f>
        <v>33°c c18  22</v>
      </c>
      <c r="J818" t="str">
        <f ca="1">TEXT(TRUNC(-111.84056), "0" &amp; CHAR(176) &amp; " ") &amp; TEXT(INT((ABS(-111.84056)- INT(ABS(-111.84056)))*60), "0' ") &amp; TEXT(((((ABS(-111.84056)-INT(ABS(-111.84056)))*60)- INT((ABS(-111.84056) - INT(ABS(-111.84056)))*60))*60), " 0''")</f>
        <v>-111°c c50  26</v>
      </c>
    </row>
    <row r="819" spans="1:10">
      <c r="A819" t="s">
        <v>10</v>
      </c>
      <c r="B819" s="2">
        <v>1200</v>
      </c>
      <c r="C819" t="s">
        <v>24</v>
      </c>
      <c r="D819" t="s">
        <v>1726</v>
      </c>
      <c r="E819" t="s">
        <v>1727</v>
      </c>
      <c r="F819" t="s">
        <v>1727</v>
      </c>
      <c r="G819" t="s">
        <v>480</v>
      </c>
      <c r="H819" s="3">
        <v>39843.217361111114</v>
      </c>
      <c r="I819" t="str">
        <f ca="1">TEXT(TRUNC(51.2166667), "0" &amp; CHAR(176) &amp; " ") &amp; TEXT(INT((ABS(51.2166667)- INT(ABS(51.2166667)))*60), "0' ") &amp; TEXT(((((ABS(51.2166667)-INT(ABS(51.2166667)))*60)- INT((ABS(51.2166667) - INT(ABS(51.2166667)))*60))*60), " 0''")</f>
        <v>51°c c13  0</v>
      </c>
      <c r="J819" t="str">
        <f ca="1">TEXT(TRUNC(4.4166667), "0" &amp; CHAR(176) &amp; " ") &amp; TEXT(INT((ABS(4.4166667)- INT(ABS(4.4166667)))*60), "0' ") &amp; TEXT(((((ABS(4.4166667)-INT(ABS(4.4166667)))*60)- INT((ABS(4.4166667) - INT(ABS(4.4166667)))*60))*60), " 0''")</f>
        <v>4°c c25  0</v>
      </c>
    </row>
    <row r="820" spans="1:10">
      <c r="A820" t="s">
        <v>10</v>
      </c>
      <c r="B820" s="2">
        <v>1200</v>
      </c>
      <c r="C820" t="s">
        <v>24</v>
      </c>
      <c r="D820" t="s">
        <v>1063</v>
      </c>
      <c r="E820" t="s">
        <v>1728</v>
      </c>
      <c r="F820" t="s">
        <v>574</v>
      </c>
      <c r="G820" t="s">
        <v>65</v>
      </c>
      <c r="H820" s="3">
        <v>39843.222222222219</v>
      </c>
      <c r="I820" t="str">
        <f ca="1">TEXT(TRUNC(52.6166667), "0" &amp; CHAR(176) &amp; " ") &amp; TEXT(INT((ABS(52.6166667)- INT(ABS(52.6166667)))*60), "0' ") &amp; TEXT(((((ABS(52.6166667)-INT(ABS(52.6166667)))*60)- INT((ABS(52.6166667) - INT(ABS(52.6166667)))*60))*60), " 0''")</f>
        <v>52°c c37  0</v>
      </c>
      <c r="J820" t="str">
        <f ca="1">TEXT(TRUNC(-8.8833333), "0" &amp; CHAR(176) &amp; " ") &amp; TEXT(INT((ABS(-8.8833333)- INT(ABS(-8.8833333)))*60), "0' ") &amp; TEXT(((((ABS(-8.8833333)-INT(ABS(-8.8833333)))*60)- INT((ABS(-8.8833333) - INT(ABS(-8.8833333)))*60))*60), " 0''")</f>
        <v>-8°c c52  60</v>
      </c>
    </row>
    <row r="821" spans="1:10">
      <c r="A821" t="s">
        <v>10</v>
      </c>
      <c r="B821" s="2">
        <v>1200</v>
      </c>
      <c r="C821" t="s">
        <v>24</v>
      </c>
      <c r="D821" t="s">
        <v>1362</v>
      </c>
      <c r="E821" t="s">
        <v>1729</v>
      </c>
      <c r="F821" t="s">
        <v>64</v>
      </c>
      <c r="G821" t="s">
        <v>65</v>
      </c>
      <c r="H821" s="3">
        <v>39843.261805555558</v>
      </c>
      <c r="I821" t="str">
        <f ca="1">TEXT(TRUNC(51.9333333), "0" &amp; CHAR(176) &amp; " ") &amp; TEXT(INT((ABS(51.9333333)- INT(ABS(51.9333333)))*60), "0' ") &amp; TEXT(((((ABS(51.9333333)-INT(ABS(51.9333333)))*60)- INT((ABS(51.9333333) - INT(ABS(51.9333333)))*60))*60), " 0''")</f>
        <v>51°c c55  60</v>
      </c>
      <c r="J821" t="str">
        <f ca="1">TEXT(TRUNC(-8.5666667), "0" &amp; CHAR(176) &amp; " ") &amp; TEXT(INT((ABS(-8.5666667)- INT(ABS(-8.5666667)))*60), "0' ") &amp; TEXT(((((ABS(-8.5666667)-INT(ABS(-8.5666667)))*60)- INT((ABS(-8.5666667) - INT(ABS(-8.5666667)))*60))*60), " 0''")</f>
        <v>-8°c c34  0</v>
      </c>
    </row>
    <row r="822" spans="1:10">
      <c r="A822" t="s">
        <v>10</v>
      </c>
      <c r="B822" s="2">
        <v>1200</v>
      </c>
      <c r="C822" t="s">
        <v>11</v>
      </c>
      <c r="D822" t="s">
        <v>46</v>
      </c>
      <c r="E822" t="s">
        <v>1661</v>
      </c>
      <c r="F822" t="s">
        <v>567</v>
      </c>
      <c r="G822" t="s">
        <v>15</v>
      </c>
      <c r="H822" s="3">
        <v>39843.283333333333</v>
      </c>
      <c r="I822" t="str">
        <f ca="1">TEXT(TRUNC(35.0525), "0" &amp; CHAR(176) &amp; " ") &amp; TEXT(INT((ABS(35.0525)- INT(ABS(35.0525)))*60), "0' ") &amp; TEXT(((((ABS(35.0525)-INT(ABS(35.0525)))*60)- INT((ABS(35.0525) - INT(ABS(35.0525)))*60))*60), " 0''")</f>
        <v>35°c c3  9</v>
      </c>
      <c r="J822" t="str">
        <f ca="1">TEXT(TRUNC(-78.87861), "0" &amp; CHAR(176) &amp; " ") &amp; TEXT(INT((ABS(-78.87861)- INT(ABS(-78.87861)))*60), "0' ") &amp; TEXT(((((ABS(-78.87861)-INT(ABS(-78.87861)))*60)- INT((ABS(-78.87861) - INT(ABS(-78.87861)))*60))*60), " 0''")</f>
        <v>-78°c c52  43</v>
      </c>
    </row>
    <row r="823" spans="1:10">
      <c r="A823" t="s">
        <v>10</v>
      </c>
      <c r="B823" s="2">
        <v>250</v>
      </c>
      <c r="C823" t="s">
        <v>24</v>
      </c>
      <c r="D823" t="s">
        <v>1732</v>
      </c>
      <c r="E823" t="s">
        <v>1639</v>
      </c>
      <c r="F823" t="s">
        <v>57</v>
      </c>
      <c r="G823" t="s">
        <v>15</v>
      </c>
      <c r="H823" s="3">
        <v>39843.320833333331</v>
      </c>
      <c r="I823" t="str">
        <f ca="1">TEXT(TRUNC(34.18972), "0" &amp; CHAR(176) &amp; " ") &amp; TEXT(INT((ABS(34.18972)- INT(ABS(34.18972)))*60), "0' ") &amp; TEXT(((((ABS(34.18972)-INT(ABS(34.18972)))*60)- INT((ABS(34.18972) - INT(ABS(34.18972)))*60))*60), " 0''")</f>
        <v>34°c c11  23</v>
      </c>
      <c r="J823" t="str">
        <f ca="1">TEXT(TRUNC(-118.13028), "0" &amp; CHAR(176) &amp; " ") &amp; TEXT(INT((ABS(-118.13028)- INT(ABS(-118.13028)))*60), "0' ") &amp; TEXT(((((ABS(-118.13028)-INT(ABS(-118.13028)))*60)- INT((ABS(-118.13028) - INT(ABS(-118.13028)))*60))*60), " 0''")</f>
        <v>-118°c c7  49</v>
      </c>
    </row>
    <row r="824" spans="1:10">
      <c r="A824" t="s">
        <v>10</v>
      </c>
      <c r="B824" s="2">
        <v>1200</v>
      </c>
      <c r="C824" t="s">
        <v>11</v>
      </c>
      <c r="D824" t="s">
        <v>1733</v>
      </c>
      <c r="E824" t="s">
        <v>956</v>
      </c>
      <c r="F824" t="s">
        <v>197</v>
      </c>
      <c r="G824" t="s">
        <v>15</v>
      </c>
      <c r="H824" s="3">
        <v>39843.375</v>
      </c>
      <c r="I824" t="str">
        <f ca="1">TEXT(TRUNC(36.16583), "0" &amp; CHAR(176) &amp; " ") &amp; TEXT(INT((ABS(36.16583)- INT(ABS(36.16583)))*60), "0' ") &amp; TEXT(((((ABS(36.16583)-INT(ABS(36.16583)))*60)- INT((ABS(36.16583) - INT(ABS(36.16583)))*60))*60), " 0''")</f>
        <v>36°c c9  57</v>
      </c>
      <c r="J824" t="str">
        <f ca="1">TEXT(TRUNC(-86.78444), "0" &amp; CHAR(176) &amp; " ") &amp; TEXT(INT((ABS(-86.78444)- INT(ABS(-86.78444)))*60), "0' ") &amp; TEXT(((((ABS(-86.78444)-INT(ABS(-86.78444)))*60)- INT((ABS(-86.78444) - INT(ABS(-86.78444)))*60))*60), " 0''")</f>
        <v>-86°c c47  4</v>
      </c>
    </row>
    <row r="825" spans="1:10">
      <c r="A825" t="s">
        <v>10</v>
      </c>
      <c r="B825" s="2">
        <v>1200</v>
      </c>
      <c r="C825" t="s">
        <v>11</v>
      </c>
      <c r="D825" t="s">
        <v>1734</v>
      </c>
      <c r="E825" t="s">
        <v>1735</v>
      </c>
      <c r="F825" t="s">
        <v>259</v>
      </c>
      <c r="G825" t="s">
        <v>15</v>
      </c>
      <c r="H825" s="3">
        <v>39843.438194444447</v>
      </c>
      <c r="I825" t="str">
        <f ca="1">TEXT(TRUNC(39.37222), "0" &amp; CHAR(176) &amp; " ") &amp; TEXT(INT((ABS(39.37222)- INT(ABS(39.37222)))*60), "0' ") &amp; TEXT(((((ABS(39.37222)-INT(ABS(39.37222)))*60)- INT((ABS(39.37222) - INT(ABS(39.37222)))*60))*60), " 0''")</f>
        <v>39°c c22  20</v>
      </c>
      <c r="J825" t="str">
        <f ca="1">TEXT(TRUNC(-104.85556), "0" &amp; CHAR(176) &amp; " ") &amp; TEXT(INT((ABS(-104.85556)- INT(ABS(-104.85556)))*60), "0' ") &amp; TEXT(((((ABS(-104.85556)-INT(ABS(-104.85556)))*60)- INT((ABS(-104.85556) - INT(ABS(-104.85556)))*60))*60), " 0''")</f>
        <v>-104°c c51  20</v>
      </c>
    </row>
    <row r="826" spans="1:10">
      <c r="A826" t="s">
        <v>10</v>
      </c>
      <c r="B826" s="2">
        <v>1200</v>
      </c>
      <c r="C826" t="s">
        <v>11</v>
      </c>
      <c r="D826" t="s">
        <v>1683</v>
      </c>
      <c r="E826" t="s">
        <v>1736</v>
      </c>
      <c r="F826" t="s">
        <v>53</v>
      </c>
      <c r="G826" t="s">
        <v>54</v>
      </c>
      <c r="H826" s="3">
        <v>39843.49722222222</v>
      </c>
      <c r="I826" t="str">
        <f ca="1">TEXT(TRUNC(52.0166667), "0" &amp; CHAR(176) &amp; " ") &amp; TEXT(INT((ABS(52.0166667)- INT(ABS(52.0166667)))*60), "0' ") &amp; TEXT(((((ABS(52.0166667)-INT(ABS(52.0166667)))*60)- INT((ABS(52.0166667) - INT(ABS(52.0166667)))*60))*60), " 0''")</f>
        <v>52°c c1  0</v>
      </c>
      <c r="J826" t="str">
        <f ca="1">TEXT(TRUNC(-1.9666667), "0" &amp; CHAR(176) &amp; " ") &amp; TEXT(INT((ABS(-1.9666667)- INT(ABS(-1.9666667)))*60), "0' ") &amp; TEXT(((((ABS(-1.9666667)-INT(ABS(-1.9666667)))*60)- INT((ABS(-1.9666667) - INT(ABS(-1.9666667)))*60))*60), " 0''")</f>
        <v>-1°c c58  0</v>
      </c>
    </row>
    <row r="827" spans="1:10">
      <c r="A827" t="s">
        <v>10</v>
      </c>
      <c r="B827" s="2">
        <v>1200</v>
      </c>
      <c r="C827" t="s">
        <v>11</v>
      </c>
      <c r="D827" t="s">
        <v>474</v>
      </c>
      <c r="E827" t="s">
        <v>1737</v>
      </c>
      <c r="F827" t="s">
        <v>57</v>
      </c>
      <c r="G827" t="s">
        <v>15</v>
      </c>
      <c r="H827" s="3">
        <v>39843.5125</v>
      </c>
      <c r="I827" t="str">
        <f ca="1">TEXT(TRUNC(33.87028), "0" &amp; CHAR(176) &amp; " ") &amp; TEXT(INT((ABS(33.87028)- INT(ABS(33.87028)))*60), "0' ") &amp; TEXT(((((ABS(33.87028)-INT(ABS(33.87028)))*60)- INT((ABS(33.87028) - INT(ABS(33.87028)))*60))*60), " 0''")</f>
        <v>33°c c52  13</v>
      </c>
      <c r="J827" t="str">
        <f ca="1">TEXT(TRUNC(-117.92444), "0" &amp; CHAR(176) &amp; " ") &amp; TEXT(INT((ABS(-117.92444)- INT(ABS(-117.92444)))*60), "0' ") &amp; TEXT(((((ABS(-117.92444)-INT(ABS(-117.92444)))*60)- INT((ABS(-117.92444) - INT(ABS(-117.92444)))*60))*60), " 0''")</f>
        <v>-117°c c55  28</v>
      </c>
    </row>
    <row r="828" spans="1:10">
      <c r="A828" t="s">
        <v>10</v>
      </c>
      <c r="B828" s="2">
        <v>1200</v>
      </c>
      <c r="C828" t="s">
        <v>24</v>
      </c>
      <c r="D828" t="s">
        <v>1281</v>
      </c>
      <c r="E828" t="s">
        <v>1738</v>
      </c>
      <c r="F828" t="s">
        <v>190</v>
      </c>
      <c r="G828" t="s">
        <v>15</v>
      </c>
      <c r="H828" s="3">
        <v>39843.550694444442</v>
      </c>
      <c r="I828" t="str">
        <f ca="1">TEXT(TRUNC(42.44722), "0" &amp; CHAR(176) &amp; " ") &amp; TEXT(INT((ABS(42.44722)- INT(ABS(42.44722)))*60), "0' ") &amp; TEXT(((((ABS(42.44722)-INT(ABS(42.44722)))*60)- INT((ABS(42.44722) - INT(ABS(42.44722)))*60))*60), " 0''")</f>
        <v>42°c c26  50</v>
      </c>
      <c r="J828" t="str">
        <f ca="1">TEXT(TRUNC(-71.225), "0" &amp; CHAR(176) &amp; " ") &amp; TEXT(INT((ABS(-71.225)- INT(ABS(-71.225)))*60), "0' ") &amp; TEXT(((((ABS(-71.225)-INT(ABS(-71.225)))*60)- INT((ABS(-71.225) - INT(ABS(-71.225)))*60))*60), " 0''")</f>
        <v>-71°c c13  30</v>
      </c>
    </row>
    <row r="829" spans="1:10">
      <c r="A829" t="s">
        <v>10</v>
      </c>
      <c r="B829" s="2">
        <v>1200</v>
      </c>
      <c r="C829" t="s">
        <v>24</v>
      </c>
      <c r="D829" t="s">
        <v>1739</v>
      </c>
      <c r="E829" t="s">
        <v>388</v>
      </c>
      <c r="F829" t="s">
        <v>388</v>
      </c>
      <c r="G829" t="s">
        <v>75</v>
      </c>
      <c r="H829" s="3">
        <v>39843.60833333333</v>
      </c>
      <c r="I829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829" t="str">
        <f ca="1">TEXT(TRUNC(6.1666667), "0" &amp; CHAR(176) &amp; " ") &amp; TEXT(INT((ABS(6.1666667)- INT(ABS(6.1666667)))*60), "0' ") &amp; TEXT(((((ABS(6.1666667)-INT(ABS(6.1666667)))*60)- INT((ABS(6.1666667) - INT(ABS(6.1666667)))*60))*60), " 0''")</f>
        <v>6°c c10  0</v>
      </c>
    </row>
    <row r="830" spans="1:10">
      <c r="A830" t="s">
        <v>10</v>
      </c>
      <c r="B830" s="2">
        <v>1200</v>
      </c>
      <c r="C830" t="s">
        <v>11</v>
      </c>
      <c r="D830" t="s">
        <v>1740</v>
      </c>
      <c r="E830" t="s">
        <v>1741</v>
      </c>
      <c r="F830" t="s">
        <v>71</v>
      </c>
      <c r="G830" t="s">
        <v>1741</v>
      </c>
      <c r="H830" s="3">
        <v>39843.714583333334</v>
      </c>
      <c r="I830" t="str">
        <f ca="1">TEXT(TRUNC(22.2833333), "0" &amp; CHAR(176) &amp; " ") &amp; TEXT(INT((ABS(22.2833333)- INT(ABS(22.2833333)))*60), "0' ") &amp; TEXT(((((ABS(22.2833333)-INT(ABS(22.2833333)))*60)- INT((ABS(22.2833333) - INT(ABS(22.2833333)))*60))*60), " 0''")</f>
        <v>22°c c16  60</v>
      </c>
      <c r="J830" t="str">
        <f ca="1">TEXT(TRUNC(114.15), "0" &amp; CHAR(176) &amp; " ") &amp; TEXT(INT((ABS(114.15)- INT(ABS(114.15)))*60), "0' ") &amp; TEXT(((((ABS(114.15)-INT(ABS(114.15)))*60)- INT((ABS(114.15) - INT(ABS(114.15)))*60))*60), " 0''")</f>
        <v>114°c c9  0</v>
      </c>
    </row>
    <row r="831" spans="1:10">
      <c r="A831" t="s">
        <v>10</v>
      </c>
      <c r="B831" s="2">
        <v>1200</v>
      </c>
      <c r="C831" t="s">
        <v>24</v>
      </c>
      <c r="D831" t="s">
        <v>1742</v>
      </c>
      <c r="E831" t="s">
        <v>586</v>
      </c>
      <c r="F831" t="s">
        <v>113</v>
      </c>
      <c r="G831" t="s">
        <v>49</v>
      </c>
      <c r="H831" s="3">
        <v>39843.73125</v>
      </c>
      <c r="I831" t="str">
        <f ca="1">TEXT(TRUNC(-28.2333333), "0" &amp; CHAR(176) &amp; " ") &amp; TEXT(INT((ABS(-28.2333333)- INT(ABS(-28.2333333)))*60), "0' ") &amp; TEXT(((((ABS(-28.2333333)-INT(ABS(-28.2333333)))*60)- INT((ABS(-28.2333333) - INT(ABS(-28.2333333)))*60))*60), " 0''")</f>
        <v>-28°c c13  60</v>
      </c>
      <c r="J831" t="str">
        <f ca="1">TEXT(TRUNC(152.0166667), "0" &amp; CHAR(176) &amp; " ") &amp; TEXT(INT((ABS(152.0166667)- INT(ABS(152.0166667)))*60), "0' ") &amp; TEXT(((((ABS(152.0166667)-INT(ABS(152.0166667)))*60)- INT((ABS(152.0166667) - INT(ABS(152.0166667)))*60))*60), " 0''")</f>
        <v>152°c c1  0</v>
      </c>
    </row>
    <row r="832" spans="1:10">
      <c r="A832" t="s">
        <v>10</v>
      </c>
      <c r="B832" s="2">
        <v>1200</v>
      </c>
      <c r="C832" t="s">
        <v>50</v>
      </c>
      <c r="D832" t="s">
        <v>1468</v>
      </c>
      <c r="E832" t="s">
        <v>1743</v>
      </c>
      <c r="F832" t="s">
        <v>197</v>
      </c>
      <c r="G832" t="s">
        <v>15</v>
      </c>
      <c r="H832" s="3">
        <v>39843.8</v>
      </c>
      <c r="I832" t="str">
        <f ca="1">TEXT(TRUNC(35.075), "0" &amp; CHAR(176) &amp; " ") &amp; TEXT(INT((ABS(35.075)- INT(ABS(35.075)))*60), "0' ") &amp; TEXT(((((ABS(35.075)-INT(ABS(35.075)))*60)- INT((ABS(35.075) - INT(ABS(35.075)))*60))*60), " 0''")</f>
        <v>35°c c4  30</v>
      </c>
      <c r="J832" t="str">
        <f ca="1">TEXT(TRUNC(-85.06222), "0" &amp; CHAR(176) &amp; " ") &amp; TEXT(INT((ABS(-85.06222)- INT(ABS(-85.06222)))*60), "0' ") &amp; TEXT(((((ABS(-85.06222)-INT(ABS(-85.06222)))*60)- INT((ABS(-85.06222) - INT(ABS(-85.06222)))*60))*60), " 0''")</f>
        <v>-85°c c3  44</v>
      </c>
    </row>
    <row r="833" spans="1:10">
      <c r="A833" t="s">
        <v>10</v>
      </c>
      <c r="B833" s="2">
        <v>1200</v>
      </c>
      <c r="C833" t="s">
        <v>11</v>
      </c>
      <c r="D833" t="s">
        <v>576</v>
      </c>
      <c r="E833" t="s">
        <v>1744</v>
      </c>
      <c r="F833" t="s">
        <v>57</v>
      </c>
      <c r="G833" t="s">
        <v>15</v>
      </c>
      <c r="H833" s="3">
        <v>39843.852083333331</v>
      </c>
      <c r="I833" t="str">
        <f ca="1">TEXT(TRUNC(34.14778), "0" &amp; CHAR(176) &amp; " ") &amp; TEXT(INT((ABS(34.14778)- INT(ABS(34.14778)))*60), "0' ") &amp; TEXT(((((ABS(34.14778)-INT(ABS(34.14778)))*60)- INT((ABS(34.14778) - INT(ABS(34.14778)))*60))*60), " 0''")</f>
        <v>34°c c8  52</v>
      </c>
      <c r="J833" t="str">
        <f ca="1">TEXT(TRUNC(-118.14361), "0" &amp; CHAR(176) &amp; " ") &amp; TEXT(INT((ABS(-118.14361)- INT(ABS(-118.14361)))*60), "0' ") &amp; TEXT(((((ABS(-118.14361)-INT(ABS(-118.14361)))*60)- INT((ABS(-118.14361) - INT(ABS(-118.14361)))*60))*60), " 0''")</f>
        <v>-118°c c8  37</v>
      </c>
    </row>
    <row r="834" spans="1:10">
      <c r="A834" t="s">
        <v>10</v>
      </c>
      <c r="B834" s="2">
        <v>1200</v>
      </c>
      <c r="C834" t="s">
        <v>24</v>
      </c>
      <c r="D834" t="s">
        <v>1483</v>
      </c>
      <c r="E834" t="s">
        <v>1745</v>
      </c>
      <c r="F834" t="s">
        <v>27</v>
      </c>
      <c r="G834" t="s">
        <v>15</v>
      </c>
      <c r="H834" s="3">
        <v>39843.85833333333</v>
      </c>
      <c r="I834" t="str">
        <f ca="1">TEXT(TRUNC(26.30139), "0" &amp; CHAR(176) &amp; " ") &amp; TEXT(INT((ABS(26.30139)- INT(ABS(26.30139)))*60), "0' ") &amp; TEXT(((((ABS(26.30139)-INT(ABS(26.30139)))*60)- INT((ABS(26.30139) - INT(ABS(26.30139)))*60))*60), " 0''")</f>
        <v>26°c c18  5</v>
      </c>
      <c r="J834" t="str">
        <f ca="1">TEXT(TRUNC(-98.16306), "0" &amp; CHAR(176) &amp; " ") &amp; TEXT(INT((ABS(-98.16306)- INT(ABS(-98.16306)))*60), "0' ") &amp; TEXT(((((ABS(-98.16306)-INT(ABS(-98.16306)))*60)- INT((ABS(-98.16306) - INT(ABS(-98.16306)))*60))*60), " 0''")</f>
        <v>-98°c c9  47</v>
      </c>
    </row>
    <row r="835" spans="1:10">
      <c r="A835" t="s">
        <v>10</v>
      </c>
      <c r="B835" s="2">
        <v>1200</v>
      </c>
      <c r="C835" t="s">
        <v>24</v>
      </c>
      <c r="D835" t="s">
        <v>1750</v>
      </c>
      <c r="E835" t="s">
        <v>944</v>
      </c>
      <c r="F835" t="s">
        <v>578</v>
      </c>
      <c r="G835" t="s">
        <v>42</v>
      </c>
      <c r="H835" s="3">
        <v>39844.082638888889</v>
      </c>
      <c r="I835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835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836" spans="1:10">
      <c r="A836" t="s">
        <v>10</v>
      </c>
      <c r="B836" s="2">
        <v>1200</v>
      </c>
      <c r="C836" t="s">
        <v>11</v>
      </c>
      <c r="D836" t="s">
        <v>1751</v>
      </c>
      <c r="E836" t="s">
        <v>1752</v>
      </c>
      <c r="F836" t="s">
        <v>357</v>
      </c>
      <c r="G836" t="s">
        <v>209</v>
      </c>
      <c r="H836" s="3">
        <v>39844.201388888891</v>
      </c>
      <c r="I836" t="str">
        <f ca="1">TEXT(TRUNC(59.5), "0" &amp; CHAR(176) &amp; " ") &amp; TEXT(INT((ABS(59.5)- INT(ABS(59.5)))*60), "0' ") &amp; TEXT(((((ABS(59.5)-INT(ABS(59.5)))*60)- INT((ABS(59.5) - INT(ABS(59.5)))*60))*60), " 0''")</f>
        <v>59°c c30  0</v>
      </c>
      <c r="J836" t="str">
        <f ca="1">TEXT(TRUNC(18.05), "0" &amp; CHAR(176) &amp; " ") &amp; TEXT(INT((ABS(18.05)- INT(ABS(18.05)))*60), "0' ") &amp; TEXT(((((ABS(18.05)-INT(ABS(18.05)))*60)- INT((ABS(18.05) - INT(ABS(18.05)))*60))*60), " 0''")</f>
        <v>18°c c3  0</v>
      </c>
    </row>
    <row r="837" spans="1:10">
      <c r="A837" t="s">
        <v>10</v>
      </c>
      <c r="B837" s="2">
        <v>1200</v>
      </c>
      <c r="C837" t="s">
        <v>50</v>
      </c>
      <c r="D837" t="s">
        <v>1047</v>
      </c>
      <c r="E837" t="s">
        <v>1754</v>
      </c>
      <c r="F837" t="s">
        <v>14</v>
      </c>
      <c r="G837" t="s">
        <v>15</v>
      </c>
      <c r="H837" s="3">
        <v>39844.259722222225</v>
      </c>
      <c r="I837" t="str">
        <f ca="1">TEXT(TRUNC(40.99778), "0" &amp; CHAR(176) &amp; " ") &amp; TEXT(INT((ABS(40.99778)- INT(ABS(40.99778)))*60), "0' ") &amp; TEXT(((((ABS(40.99778)-INT(ABS(40.99778)))*60)- INT((ABS(40.99778) - INT(ABS(40.99778)))*60))*60), " 0''")</f>
        <v>40°c c59  52</v>
      </c>
      <c r="J837" t="str">
        <f ca="1">TEXT(TRUNC(-72.29306), "0" &amp; CHAR(176) &amp; " ") &amp; TEXT(INT((ABS(-72.29306)- INT(ABS(-72.29306)))*60), "0' ") &amp; TEXT(((((ABS(-72.29306)-INT(ABS(-72.29306)))*60)- INT((ABS(-72.29306) - INT(ABS(-72.29306)))*60))*60), " 0''")</f>
        <v>-72°c c17  35</v>
      </c>
    </row>
    <row r="838" spans="1:10">
      <c r="A838" t="s">
        <v>10</v>
      </c>
      <c r="B838" s="2">
        <v>1200</v>
      </c>
      <c r="C838" t="s">
        <v>33</v>
      </c>
      <c r="D838" t="s">
        <v>1345</v>
      </c>
      <c r="E838" t="s">
        <v>118</v>
      </c>
      <c r="F838" t="s">
        <v>53</v>
      </c>
      <c r="G838" t="s">
        <v>54</v>
      </c>
      <c r="H838" s="3">
        <v>39844.300694444442</v>
      </c>
      <c r="I838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838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839" spans="1:10">
      <c r="A839" t="s">
        <v>10</v>
      </c>
      <c r="B839" s="2">
        <v>1200</v>
      </c>
      <c r="C839" t="s">
        <v>24</v>
      </c>
      <c r="D839" t="s">
        <v>1755</v>
      </c>
      <c r="E839" t="s">
        <v>1756</v>
      </c>
      <c r="F839" t="s">
        <v>580</v>
      </c>
      <c r="G839" t="s">
        <v>15</v>
      </c>
      <c r="H839" s="3">
        <v>39844.306944444441</v>
      </c>
      <c r="I839" t="str">
        <f ca="1">TEXT(TRUNC(41.20083), "0" &amp; CHAR(176) &amp; " ") &amp; TEXT(INT((ABS(41.20083)- INT(ABS(41.20083)))*60), "0' ") &amp; TEXT(((((ABS(41.20083)-INT(ABS(41.20083)))*60)- INT((ABS(41.20083) - INT(ABS(41.20083)))*60))*60), " 0''")</f>
        <v>41°c c12  3</v>
      </c>
      <c r="J839" t="str">
        <f ca="1">TEXT(TRUNC(-73.38111), "0" &amp; CHAR(176) &amp; " ") &amp; TEXT(INT((ABS(-73.38111)- INT(ABS(-73.38111)))*60), "0' ") &amp; TEXT(((((ABS(-73.38111)-INT(ABS(-73.38111)))*60)- INT((ABS(-73.38111) - INT(ABS(-73.38111)))*60))*60), " 0''")</f>
        <v>-73°c c22  52</v>
      </c>
    </row>
    <row r="840" spans="1:10">
      <c r="A840" t="s">
        <v>10</v>
      </c>
      <c r="B840" s="2">
        <v>1200</v>
      </c>
      <c r="C840" t="s">
        <v>11</v>
      </c>
      <c r="D840" t="s">
        <v>760</v>
      </c>
      <c r="E840" t="s">
        <v>1268</v>
      </c>
      <c r="F840" t="s">
        <v>45</v>
      </c>
      <c r="G840" t="s">
        <v>15</v>
      </c>
      <c r="H840" s="3">
        <v>39844.37222222222</v>
      </c>
      <c r="I840" t="str">
        <f ca="1">TEXT(TRUNC(25.71222), "0" &amp; CHAR(176) &amp; " ") &amp; TEXT(INT((ABS(25.71222)- INT(ABS(25.71222)))*60), "0' ") &amp; TEXT(((((ABS(25.71222)-INT(ABS(25.71222)))*60)- INT((ABS(25.71222) - INT(ABS(25.71222)))*60))*60), " 0''")</f>
        <v>25°c c42  44</v>
      </c>
      <c r="J840" t="str">
        <f ca="1">TEXT(TRUNC(-80.25722), "0" &amp; CHAR(176) &amp; " ") &amp; TEXT(INT((ABS(-80.25722)- INT(ABS(-80.25722)))*60), "0' ") &amp; TEXT(((((ABS(-80.25722)-INT(ABS(-80.25722)))*60)- INT((ABS(-80.25722) - INT(ABS(-80.25722)))*60))*60), " 0''")</f>
        <v>-80°c c15  26</v>
      </c>
    </row>
    <row r="841" spans="1:10">
      <c r="A841" t="s">
        <v>10</v>
      </c>
      <c r="B841" s="2">
        <v>1200</v>
      </c>
      <c r="C841" t="s">
        <v>24</v>
      </c>
      <c r="D841" t="s">
        <v>1757</v>
      </c>
      <c r="E841" t="s">
        <v>118</v>
      </c>
      <c r="F841" t="s">
        <v>53</v>
      </c>
      <c r="G841" t="s">
        <v>54</v>
      </c>
      <c r="H841" s="3">
        <v>39844.375</v>
      </c>
      <c r="I841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841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842" spans="1:10">
      <c r="A842" t="s">
        <v>10</v>
      </c>
      <c r="B842" s="2">
        <v>1200</v>
      </c>
      <c r="C842" t="s">
        <v>24</v>
      </c>
      <c r="D842" t="s">
        <v>1758</v>
      </c>
      <c r="E842" t="s">
        <v>176</v>
      </c>
      <c r="F842" t="s">
        <v>53</v>
      </c>
      <c r="G842" t="s">
        <v>54</v>
      </c>
      <c r="H842" s="3">
        <v>39844.383333333331</v>
      </c>
      <c r="I842" t="str">
        <f ca="1">TEXT(TRUNC(51.4333333), "0" &amp; CHAR(176) &amp; " ") &amp; TEXT(INT((ABS(51.4333333)- INT(ABS(51.4333333)))*60), "0' ") &amp; TEXT(((((ABS(51.4333333)-INT(ABS(51.4333333)))*60)- INT((ABS(51.4333333) - INT(ABS(51.4333333)))*60))*60), " 0''")</f>
        <v>51°c c25  60</v>
      </c>
      <c r="J842" t="str">
        <f ca="1">TEXT(TRUNC(-1), "0" &amp; CHAR(176) &amp; " ") &amp; TEXT(INT((ABS(-1)- INT(ABS(-1)))*60), "0' ") &amp; TEXT(((((ABS(-1)-INT(ABS(-1)))*60)- INT((ABS(-1) - INT(ABS(-1)))*60))*60), " 0''")</f>
        <v>-1°c c0  0</v>
      </c>
    </row>
    <row r="843" spans="1:10">
      <c r="A843" t="s">
        <v>10</v>
      </c>
      <c r="B843" s="2">
        <v>1200</v>
      </c>
      <c r="C843" t="s">
        <v>24</v>
      </c>
      <c r="D843" t="s">
        <v>1759</v>
      </c>
      <c r="E843" t="s">
        <v>1760</v>
      </c>
      <c r="F843" t="s">
        <v>357</v>
      </c>
      <c r="G843" t="s">
        <v>209</v>
      </c>
      <c r="H843" s="3">
        <v>39844.460416666669</v>
      </c>
      <c r="I843" t="str">
        <f ca="1">TEXT(TRUNC(59.3166667), "0" &amp; CHAR(176) &amp; " ") &amp; TEXT(INT((ABS(59.3166667)- INT(ABS(59.3166667)))*60), "0' ") &amp; TEXT(((((ABS(59.3166667)-INT(ABS(59.3166667)))*60)- INT((ABS(59.3166667) - INT(ABS(59.3166667)))*60))*60), " 0''")</f>
        <v>59°c c19  0</v>
      </c>
      <c r="J843" t="str">
        <f ca="1">TEXT(TRUNC(18.1166667), "0" &amp; CHAR(176) &amp; " ") &amp; TEXT(INT((ABS(18.1166667)- INT(ABS(18.1166667)))*60), "0' ") &amp; TEXT(((((ABS(18.1166667)-INT(ABS(18.1166667)))*60)- INT((ABS(18.1166667) - INT(ABS(18.1166667)))*60))*60), " 0''")</f>
        <v>18°c c7  0</v>
      </c>
    </row>
    <row r="844" spans="1:10">
      <c r="A844" t="s">
        <v>10</v>
      </c>
      <c r="B844" s="2">
        <v>1200</v>
      </c>
      <c r="C844" t="s">
        <v>24</v>
      </c>
      <c r="D844" t="s">
        <v>1762</v>
      </c>
      <c r="E844" t="s">
        <v>821</v>
      </c>
      <c r="F844" t="s">
        <v>95</v>
      </c>
      <c r="G844" t="s">
        <v>81</v>
      </c>
      <c r="H844" s="3">
        <v>39844.55972222222</v>
      </c>
      <c r="I844" t="str">
        <f ca="1">TEXT(TRUNC(42.9333333), "0" &amp; CHAR(176) &amp; " ") &amp; TEXT(INT((ABS(42.9333333)- INT(ABS(42.9333333)))*60), "0' ") &amp; TEXT(((((ABS(42.9333333)-INT(ABS(42.9333333)))*60)- INT((ABS(42.9333333) - INT(ABS(42.9333333)))*60))*60), " 0''")</f>
        <v>42°c c55  60</v>
      </c>
      <c r="J844" t="str">
        <f ca="1">TEXT(TRUNC(-80.2833333), "0" &amp; CHAR(176) &amp; " ") &amp; TEXT(INT((ABS(-80.2833333)- INT(ABS(-80.2833333)))*60), "0' ") &amp; TEXT(((((ABS(-80.2833333)-INT(ABS(-80.2833333)))*60)- INT((ABS(-80.2833333) - INT(ABS(-80.2833333)))*60))*60), " 0''")</f>
        <v>-80°c c16  60</v>
      </c>
    </row>
    <row r="845" spans="1:10">
      <c r="A845" t="s">
        <v>10</v>
      </c>
      <c r="B845" s="2">
        <v>1200</v>
      </c>
      <c r="C845" t="s">
        <v>24</v>
      </c>
      <c r="D845" t="s">
        <v>25</v>
      </c>
      <c r="E845" t="s">
        <v>1763</v>
      </c>
      <c r="F845" t="s">
        <v>476</v>
      </c>
      <c r="G845" t="s">
        <v>15</v>
      </c>
      <c r="H845" s="3">
        <v>39844.642361111109</v>
      </c>
      <c r="I845" t="str">
        <f ca="1">TEXT(TRUNC(34.91583), "0" &amp; CHAR(176) &amp; " ") &amp; TEXT(INT((ABS(34.91583)- INT(ABS(34.91583)))*60), "0' ") &amp; TEXT(((((ABS(34.91583)-INT(ABS(34.91583)))*60)- INT((ABS(34.91583) - INT(ABS(34.91583)))*60))*60), " 0''")</f>
        <v>34°c c54  57</v>
      </c>
      <c r="J845" t="str">
        <f ca="1">TEXT(TRUNC(-85.10917), "0" &amp; CHAR(176) &amp; " ") &amp; TEXT(INT((ABS(-85.10917)- INT(ABS(-85.10917)))*60), "0' ") &amp; TEXT(((((ABS(-85.10917)-INT(ABS(-85.10917)))*60)- INT((ABS(-85.10917) - INT(ABS(-85.10917)))*60))*60), " 0''")</f>
        <v>-85°c c6  33</v>
      </c>
    </row>
    <row r="846" spans="1:10">
      <c r="A846" t="s">
        <v>10</v>
      </c>
      <c r="B846" s="2">
        <v>1200</v>
      </c>
      <c r="C846" t="s">
        <v>24</v>
      </c>
      <c r="D846" t="s">
        <v>1764</v>
      </c>
      <c r="E846" t="s">
        <v>622</v>
      </c>
      <c r="F846" t="s">
        <v>343</v>
      </c>
      <c r="G846" t="s">
        <v>15</v>
      </c>
      <c r="H846" s="3">
        <v>39844.758333333331</v>
      </c>
      <c r="I846" t="str">
        <f ca="1">TEXT(TRUNC(39.16194), "0" &amp; CHAR(176) &amp; " ") &amp; TEXT(INT((ABS(39.16194)- INT(ABS(39.16194)))*60), "0' ") &amp; TEXT(((((ABS(39.16194)-INT(ABS(39.16194)))*60)- INT((ABS(39.16194) - INT(ABS(39.16194)))*60))*60), " 0''")</f>
        <v>39°c c9  43</v>
      </c>
      <c r="J846" t="str">
        <f ca="1">TEXT(TRUNC(-84.45694), "0" &amp; CHAR(176) &amp; " ") &amp; TEXT(INT((ABS(-84.45694)- INT(ABS(-84.45694)))*60), "0' ") &amp; TEXT(((((ABS(-84.45694)-INT(ABS(-84.45694)))*60)- INT((ABS(-84.45694) - INT(ABS(-84.45694)))*60))*60), " 0''")</f>
        <v>-84°c c27  25</v>
      </c>
    </row>
    <row r="847" spans="1:10">
      <c r="A847" t="s">
        <v>10</v>
      </c>
      <c r="B847" s="2">
        <v>1200</v>
      </c>
      <c r="C847" t="s">
        <v>24</v>
      </c>
      <c r="D847" t="s">
        <v>1765</v>
      </c>
      <c r="E847" t="s">
        <v>1189</v>
      </c>
      <c r="F847" t="s">
        <v>68</v>
      </c>
      <c r="G847" t="s">
        <v>15</v>
      </c>
      <c r="H847" s="3">
        <v>39844.909722222219</v>
      </c>
      <c r="I847" t="str">
        <f ca="1">TEXT(TRUNC(47.53028), "0" &amp; CHAR(176) &amp; " ") &amp; TEXT(INT((ABS(47.53028)- INT(ABS(47.53028)))*60), "0' ") &amp; TEXT(((((ABS(47.53028)-INT(ABS(47.53028)))*60)- INT((ABS(47.53028) - INT(ABS(47.53028)))*60))*60), " 0''")</f>
        <v>47°c c31  49</v>
      </c>
      <c r="J847" t="str">
        <f ca="1">TEXT(TRUNC(-122.03139), "0" &amp; CHAR(176) &amp; " ") &amp; TEXT(INT((ABS(-122.03139)- INT(ABS(-122.03139)))*60), "0' ") &amp; TEXT(((((ABS(-122.03139)-INT(ABS(-122.03139)))*60)- INT((ABS(-122.03139) - INT(ABS(-122.03139)))*60))*60), " 0''")</f>
        <v>-122°c c1  53</v>
      </c>
    </row>
    <row r="848" spans="1:10">
      <c r="A848" t="s">
        <v>10</v>
      </c>
      <c r="B848" s="2">
        <v>1200</v>
      </c>
      <c r="C848" t="s">
        <v>50</v>
      </c>
      <c r="D848" t="s">
        <v>1766</v>
      </c>
      <c r="E848" t="s">
        <v>1767</v>
      </c>
      <c r="F848" t="s">
        <v>267</v>
      </c>
      <c r="G848" t="s">
        <v>49</v>
      </c>
      <c r="H848" s="3">
        <v>39844.964583333334</v>
      </c>
      <c r="I848" t="str">
        <f ca="1">TEXT(TRUNC(-33.8666667), "0" &amp; CHAR(176) &amp; " ") &amp; TEXT(INT((ABS(-33.8666667)- INT(ABS(-33.8666667)))*60), "0' ") &amp; TEXT(((((ABS(-33.8666667)-INT(ABS(-33.8666667)))*60)- INT((ABS(-33.8666667) - INT(ABS(-33.8666667)))*60))*60), " 0''")</f>
        <v>-33°c c52  0</v>
      </c>
      <c r="J848" t="str">
        <f ca="1">TEXT(TRUNC(151.2833333), "0" &amp; CHAR(176) &amp; " ") &amp; TEXT(INT((ABS(151.2833333)- INT(ABS(151.2833333)))*60), "0' ") &amp; TEXT(((((ABS(151.2833333)-INT(ABS(151.2833333)))*60)- INT((ABS(151.2833333) - INT(ABS(151.2833333)))*60))*60), " 0''")</f>
        <v>151°c c16  60</v>
      </c>
    </row>
    <row r="849" spans="1:10">
      <c r="A849" t="s">
        <v>58</v>
      </c>
      <c r="B849" s="2">
        <v>3600</v>
      </c>
      <c r="C849" t="s">
        <v>11</v>
      </c>
      <c r="D849" t="s">
        <v>59</v>
      </c>
      <c r="E849" t="s">
        <v>60</v>
      </c>
      <c r="F849" t="s">
        <v>61</v>
      </c>
      <c r="G849" t="s">
        <v>23</v>
      </c>
      <c r="H849" s="3">
        <v>39814.42083333333</v>
      </c>
      <c r="I849" t="str">
        <f ca="1">TEXT(TRUNC(48.15), "0" &amp; CHAR(176) &amp; " ") &amp; TEXT(INT((ABS(48.15)- INT(ABS(48.15)))*60), "0' ") &amp; TEXT(((((ABS(48.15)-INT(ABS(48.15)))*60)- INT((ABS(48.15) - INT(ABS(48.15)))*60))*60), " 0''")</f>
        <v>48°c c8  60</v>
      </c>
      <c r="J849" t="str">
        <f ca="1">TEXT(TRUNC(11.5833333), "0" &amp; CHAR(176) &amp; " ") &amp; TEXT(INT((ABS(11.5833333)- INT(ABS(11.5833333)))*60), "0' ") &amp; TEXT(((((ABS(11.5833333)-INT(ABS(11.5833333)))*60)- INT((ABS(11.5833333) - INT(ABS(11.5833333)))*60))*60), " 0''")</f>
        <v>11°c c34  60</v>
      </c>
    </row>
    <row r="850" spans="1:10">
      <c r="A850" t="s">
        <v>58</v>
      </c>
      <c r="B850" s="2">
        <v>3600</v>
      </c>
      <c r="C850" t="s">
        <v>24</v>
      </c>
      <c r="D850" t="s">
        <v>69</v>
      </c>
      <c r="E850" t="s">
        <v>70</v>
      </c>
      <c r="F850" t="s">
        <v>71</v>
      </c>
      <c r="G850" t="s">
        <v>72</v>
      </c>
      <c r="H850" s="3">
        <v>39814.513888888891</v>
      </c>
      <c r="I850" t="str">
        <f ca="1">TEXT(TRUNC(35.9202778), "0" &amp; CHAR(176) &amp; " ") &amp; TEXT(INT((ABS(35.9202778)- INT(ABS(35.9202778)))*60), "0' ") &amp; TEXT(((((ABS(35.9202778)-INT(ABS(35.9202778)))*60)- INT((ABS(35.9202778) - INT(ABS(35.9202778)))*60))*60), " 0''")</f>
        <v>35°c c55  13</v>
      </c>
      <c r="J850" t="str">
        <f ca="1">TEXT(TRUNC(14.4425), "0" &amp; CHAR(176) &amp; " ") &amp; TEXT(INT((ABS(14.4425)- INT(ABS(14.4425)))*60), "0' ") &amp; TEXT(((((ABS(14.4425)-INT(ABS(14.4425)))*60)- INT((ABS(14.4425) - INT(ABS(14.4425)))*60))*60), " 0''")</f>
        <v>14°c c26  33</v>
      </c>
    </row>
    <row r="851" spans="1:10">
      <c r="A851" t="s">
        <v>58</v>
      </c>
      <c r="B851" s="2">
        <v>3600</v>
      </c>
      <c r="C851" t="s">
        <v>11</v>
      </c>
      <c r="D851" t="s">
        <v>73</v>
      </c>
      <c r="E851" t="s">
        <v>74</v>
      </c>
      <c r="F851" t="s">
        <v>74</v>
      </c>
      <c r="G851" t="s">
        <v>75</v>
      </c>
      <c r="H851" s="3">
        <v>39814.517361111109</v>
      </c>
      <c r="I851" t="str">
        <f ca="1">TEXT(TRUNC(47.1666667), "0" &amp; CHAR(176) &amp; " ") &amp; TEXT(INT((ABS(47.1666667)- INT(ABS(47.1666667)))*60), "0' ") &amp; TEXT(((((ABS(47.1666667)-INT(ABS(47.1666667)))*60)- INT((ABS(47.1666667) - INT(ABS(47.1666667)))*60))*60), " 0''")</f>
        <v>47°c c10  0</v>
      </c>
      <c r="J851" t="str">
        <f ca="1">TEXT(TRUNC(8.5166667), "0" &amp; CHAR(176) &amp; " ") &amp; TEXT(INT((ABS(8.5166667)- INT(ABS(8.5166667)))*60), "0' ") &amp; TEXT(((((ABS(8.5166667)-INT(ABS(8.5166667)))*60)- INT((ABS(8.5166667) - INT(ABS(8.5166667)))*60))*60), " 0''")</f>
        <v>8°c c31  0</v>
      </c>
    </row>
    <row r="852" spans="1:10">
      <c r="A852" t="s">
        <v>58</v>
      </c>
      <c r="B852" s="2">
        <v>3600</v>
      </c>
      <c r="C852" t="s">
        <v>24</v>
      </c>
      <c r="D852" t="s">
        <v>155</v>
      </c>
      <c r="E852" t="s">
        <v>94</v>
      </c>
      <c r="F852" t="s">
        <v>95</v>
      </c>
      <c r="G852" t="s">
        <v>81</v>
      </c>
      <c r="H852" s="3">
        <v>39815.456944444442</v>
      </c>
      <c r="I852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852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853" spans="1:10">
      <c r="A853" t="s">
        <v>58</v>
      </c>
      <c r="B853" s="2">
        <v>3600</v>
      </c>
      <c r="C853" t="s">
        <v>50</v>
      </c>
      <c r="D853" t="s">
        <v>185</v>
      </c>
      <c r="E853" t="s">
        <v>186</v>
      </c>
      <c r="F853" t="s">
        <v>187</v>
      </c>
      <c r="G853" t="s">
        <v>49</v>
      </c>
      <c r="H853" s="3">
        <v>39815.725</v>
      </c>
      <c r="I853" t="str">
        <f ca="1">TEXT(TRUNC(-31.9333333), "0" &amp; CHAR(176) &amp; " ") &amp; TEXT(INT((ABS(-31.9333333)- INT(ABS(-31.9333333)))*60), "0' ") &amp; TEXT(((((ABS(-31.9333333)-INT(ABS(-31.9333333)))*60)- INT((ABS(-31.9333333) - INT(ABS(-31.9333333)))*60))*60), " 0''")</f>
        <v>-31°c c55  60</v>
      </c>
      <c r="J853" t="str">
        <f ca="1">TEXT(TRUNC(115.8333333), "0" &amp; CHAR(176) &amp; " ") &amp; TEXT(INT((ABS(115.8333333)- INT(ABS(115.8333333)))*60), "0' ") &amp; TEXT(((((ABS(115.8333333)-INT(ABS(115.8333333)))*60)- INT((ABS(115.8333333) - INT(ABS(115.8333333)))*60))*60), " 0''")</f>
        <v>115°c c49  60</v>
      </c>
    </row>
    <row r="854" spans="1:10">
      <c r="A854" t="s">
        <v>58</v>
      </c>
      <c r="B854" s="2">
        <v>3600</v>
      </c>
      <c r="C854" t="s">
        <v>24</v>
      </c>
      <c r="D854" t="s">
        <v>204</v>
      </c>
      <c r="E854" t="s">
        <v>205</v>
      </c>
      <c r="F854" t="s">
        <v>48</v>
      </c>
      <c r="G854" t="s">
        <v>49</v>
      </c>
      <c r="H854" s="3">
        <v>39815.947222222225</v>
      </c>
      <c r="I854" t="str">
        <f ca="1">TEXT(TRUNC(-37.4833333), "0" &amp; CHAR(176) &amp; " ") &amp; TEXT(INT((ABS(-37.4833333)- INT(ABS(-37.4833333)))*60), "0' ") &amp; TEXT(((((ABS(-37.4833333)-INT(ABS(-37.4833333)))*60)- INT((ABS(-37.4833333) - INT(ABS(-37.4833333)))*60))*60), " 0''")</f>
        <v>-37°c c28  60</v>
      </c>
      <c r="J854" t="str">
        <f ca="1">TEXT(TRUNC(144.5833333), "0" &amp; CHAR(176) &amp; " ") &amp; TEXT(INT((ABS(144.5833333)- INT(ABS(144.5833333)))*60), "0' ") &amp; TEXT(((((ABS(144.5833333)-INT(ABS(144.5833333)))*60)- INT((ABS(144.5833333) - INT(ABS(144.5833333)))*60))*60), " 0''")</f>
        <v>144°c c34  60</v>
      </c>
    </row>
    <row r="855" spans="1:10">
      <c r="A855" t="s">
        <v>58</v>
      </c>
      <c r="B855" s="2">
        <v>3600</v>
      </c>
      <c r="C855" t="s">
        <v>24</v>
      </c>
      <c r="D855" t="s">
        <v>206</v>
      </c>
      <c r="E855" t="s">
        <v>207</v>
      </c>
      <c r="F855" t="s">
        <v>208</v>
      </c>
      <c r="G855" t="s">
        <v>209</v>
      </c>
      <c r="H855" s="3">
        <v>39816.27847222222</v>
      </c>
      <c r="I855" t="str">
        <f ca="1">TEXT(TRUNC(55.6), "0" &amp; CHAR(176) &amp; " ") &amp; TEXT(INT((ABS(55.6)- INT(ABS(55.6)))*60), "0' ") &amp; TEXT(((((ABS(55.6)-INT(ABS(55.6)))*60)- INT((ABS(55.6) - INT(ABS(55.6)))*60))*60), " 0''")</f>
        <v>55°c c36  0</v>
      </c>
      <c r="J855" t="str">
        <f ca="1">TEXT(TRUNC(13), "0" &amp; CHAR(176) &amp; " ") &amp; TEXT(INT((ABS(13)- INT(ABS(13)))*60), "0' ") &amp; TEXT(((((ABS(13)-INT(ABS(13)))*60)- INT((ABS(13) - INT(ABS(13)))*60))*60), " 0''")</f>
        <v>13°c c0  0</v>
      </c>
    </row>
    <row r="856" spans="1:10">
      <c r="A856" t="s">
        <v>58</v>
      </c>
      <c r="B856" s="2">
        <v>3600</v>
      </c>
      <c r="C856" t="s">
        <v>24</v>
      </c>
      <c r="D856" t="s">
        <v>221</v>
      </c>
      <c r="E856" t="s">
        <v>222</v>
      </c>
      <c r="F856" t="s">
        <v>45</v>
      </c>
      <c r="G856" t="s">
        <v>15</v>
      </c>
      <c r="H856" s="3">
        <v>39816.424305555556</v>
      </c>
      <c r="I856" t="str">
        <f ca="1">TEXT(TRUNC(26.46111), "0" &amp; CHAR(176) &amp; " ") &amp; TEXT(INT((ABS(26.46111)- INT(ABS(26.46111)))*60), "0' ") &amp; TEXT(((((ABS(26.46111)-INT(ABS(26.46111)))*60)- INT((ABS(26.46111) - INT(ABS(26.46111)))*60))*60), " 0''")</f>
        <v>26°c c27  40</v>
      </c>
      <c r="J856" t="str">
        <f ca="1">TEXT(TRUNC(-80.07306), "0" &amp; CHAR(176) &amp; " ") &amp; TEXT(INT((ABS(-80.07306)- INT(ABS(-80.07306)))*60), "0' ") &amp; TEXT(((((ABS(-80.07306)-INT(ABS(-80.07306)))*60)- INT((ABS(-80.07306) - INT(ABS(-80.07306)))*60))*60), " 0''")</f>
        <v>-80°c c4  23</v>
      </c>
    </row>
    <row r="857" spans="1:10">
      <c r="A857" t="s">
        <v>58</v>
      </c>
      <c r="B857" s="2">
        <v>3600</v>
      </c>
      <c r="C857" t="s">
        <v>24</v>
      </c>
      <c r="D857" t="s">
        <v>245</v>
      </c>
      <c r="E857" t="s">
        <v>246</v>
      </c>
      <c r="F857" t="s">
        <v>247</v>
      </c>
      <c r="G857" t="s">
        <v>49</v>
      </c>
      <c r="H857" s="3">
        <v>39816.595138888886</v>
      </c>
      <c r="I857" t="str">
        <f ca="1">TEXT(TRUNC(-41.465), "0" &amp; CHAR(176) &amp; " ") &amp; TEXT(INT((ABS(-41.465)- INT(ABS(-41.465)))*60), "0' ") &amp; TEXT(((((ABS(-41.465)-INT(ABS(-41.465)))*60)- INT((ABS(-41.465) - INT(ABS(-41.465)))*60))*60), " 0''")</f>
        <v>-41°c c27  54</v>
      </c>
      <c r="J857" t="str">
        <f ca="1">TEXT(TRUNC(148.2572222), "0" &amp; CHAR(176) &amp; " ") &amp; TEXT(INT((ABS(148.2572222)- INT(ABS(148.2572222)))*60), "0' ") &amp; TEXT(((((ABS(148.2572222)-INT(ABS(148.2572222)))*60)- INT((ABS(148.2572222) - INT(ABS(148.2572222)))*60))*60), " 0''")</f>
        <v>148°c c15  26</v>
      </c>
    </row>
    <row r="858" spans="1:10">
      <c r="A858" t="s">
        <v>58</v>
      </c>
      <c r="B858" s="2">
        <v>3600</v>
      </c>
      <c r="C858" t="s">
        <v>50</v>
      </c>
      <c r="D858" t="s">
        <v>288</v>
      </c>
      <c r="E858" t="s">
        <v>289</v>
      </c>
      <c r="F858" t="s">
        <v>290</v>
      </c>
      <c r="G858" t="s">
        <v>81</v>
      </c>
      <c r="H858" s="3">
        <v>39817.36041666667</v>
      </c>
      <c r="I858" t="str">
        <f ca="1">TEXT(TRUNC(53.2), "0" &amp; CHAR(176) &amp; " ") &amp; TEXT(INT((ABS(53.2)- INT(ABS(53.2)))*60), "0' ") &amp; TEXT(((((ABS(53.2)-INT(ABS(53.2)))*60)- INT((ABS(53.2) - INT(ABS(53.2)))*60))*60), " 0''")</f>
        <v>53°c c12  0</v>
      </c>
      <c r="J858" t="str">
        <f ca="1">TEXT(TRUNC(-105.75), "0" &amp; CHAR(176) &amp; " ") &amp; TEXT(INT((ABS(-105.75)- INT(ABS(-105.75)))*60), "0' ") &amp; TEXT(((((ABS(-105.75)-INT(ABS(-105.75)))*60)- INT((ABS(-105.75) - INT(ABS(-105.75)))*60))*60), " 0''")</f>
        <v>-105°c c45  0</v>
      </c>
    </row>
    <row r="859" spans="1:10">
      <c r="A859" t="s">
        <v>58</v>
      </c>
      <c r="B859" s="2">
        <v>3600</v>
      </c>
      <c r="C859" t="s">
        <v>24</v>
      </c>
      <c r="D859" t="s">
        <v>307</v>
      </c>
      <c r="E859" t="s">
        <v>308</v>
      </c>
      <c r="F859" t="s">
        <v>309</v>
      </c>
      <c r="G859" t="s">
        <v>15</v>
      </c>
      <c r="H859" s="3">
        <v>39817.538888888892</v>
      </c>
      <c r="I859" t="str">
        <f ca="1">TEXT(TRUNC(33.52056), "0" &amp; CHAR(176) &amp; " ") &amp; TEXT(INT((ABS(33.52056)- INT(ABS(33.52056)))*60), "0' ") &amp; TEXT(((((ABS(33.52056)-INT(ABS(33.52056)))*60)- INT((ABS(33.52056) - INT(ABS(33.52056)))*60))*60), " 0''")</f>
        <v>33°c c31  14</v>
      </c>
      <c r="J859" t="str">
        <f ca="1">TEXT(TRUNC(-86.8025), "0" &amp; CHAR(176) &amp; " ") &amp; TEXT(INT((ABS(-86.8025)- INT(ABS(-86.8025)))*60), "0' ") &amp; TEXT(((((ABS(-86.8025)-INT(ABS(-86.8025)))*60)- INT((ABS(-86.8025) - INT(ABS(-86.8025)))*60))*60), " 0''")</f>
        <v>-86°c c48  9</v>
      </c>
    </row>
    <row r="860" spans="1:10">
      <c r="A860" t="s">
        <v>58</v>
      </c>
      <c r="B860" s="2">
        <v>3600</v>
      </c>
      <c r="C860" t="s">
        <v>33</v>
      </c>
      <c r="D860" t="s">
        <v>347</v>
      </c>
      <c r="E860" t="s">
        <v>348</v>
      </c>
      <c r="F860" t="s">
        <v>349</v>
      </c>
      <c r="G860" t="s">
        <v>23</v>
      </c>
      <c r="H860" s="3">
        <v>39817.916666666664</v>
      </c>
      <c r="I860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860" t="str">
        <f ca="1">TEXT(TRUNC(8.25), "0" &amp; CHAR(176) &amp; " ") &amp; TEXT(INT((ABS(8.25)- INT(ABS(8.25)))*60), "0' ") &amp; TEXT(((((ABS(8.25)-INT(ABS(8.25)))*60)- INT((ABS(8.25) - INT(ABS(8.25)))*60))*60), " 0''")</f>
        <v>8°c c15  0</v>
      </c>
    </row>
    <row r="861" spans="1:10">
      <c r="A861" t="s">
        <v>58</v>
      </c>
      <c r="B861" s="2">
        <v>3600</v>
      </c>
      <c r="C861" t="s">
        <v>11</v>
      </c>
      <c r="D861" t="s">
        <v>350</v>
      </c>
      <c r="E861" t="s">
        <v>351</v>
      </c>
      <c r="F861" t="s">
        <v>252</v>
      </c>
      <c r="G861" t="s">
        <v>81</v>
      </c>
      <c r="H861" s="3">
        <v>39817.929166666669</v>
      </c>
      <c r="I861" t="str">
        <f ca="1">TEXT(TRUNC(49.8833333), "0" &amp; CHAR(176) &amp; " ") &amp; TEXT(INT((ABS(49.8833333)- INT(ABS(49.8833333)))*60), "0' ") &amp; TEXT(((((ABS(49.8833333)-INT(ABS(49.8833333)))*60)- INT((ABS(49.8833333) - INT(ABS(49.8833333)))*60))*60), " 0''")</f>
        <v>49°c c52  60</v>
      </c>
      <c r="J861" t="str">
        <f ca="1">TEXT(TRUNC(-124.55), "0" &amp; CHAR(176) &amp; " ") &amp; TEXT(INT((ABS(-124.55)- INT(ABS(-124.55)))*60), "0' ") &amp; TEXT(((((ABS(-124.55)-INT(ABS(-124.55)))*60)- INT((ABS(-124.55) - INT(ABS(-124.55)))*60))*60), " 0''")</f>
        <v>-124°c c32  60</v>
      </c>
    </row>
    <row r="862" spans="1:10">
      <c r="A862" t="s">
        <v>58</v>
      </c>
      <c r="B862" s="2">
        <v>3600</v>
      </c>
      <c r="C862" t="s">
        <v>11</v>
      </c>
      <c r="D862" t="s">
        <v>395</v>
      </c>
      <c r="E862" t="s">
        <v>396</v>
      </c>
      <c r="F862" t="s">
        <v>397</v>
      </c>
      <c r="G862" t="s">
        <v>23</v>
      </c>
      <c r="H862" s="3">
        <v>39818.373611111114</v>
      </c>
      <c r="I862" t="str">
        <f ca="1">TEXT(TRUNC(52.3333333), "0" &amp; CHAR(176) &amp; " ") &amp; TEXT(INT((ABS(52.3333333)- INT(ABS(52.3333333)))*60), "0' ") &amp; TEXT(((((ABS(52.3333333)-INT(ABS(52.3333333)))*60)- INT((ABS(52.3333333) - INT(ABS(52.3333333)))*60))*60), " 0''")</f>
        <v>52°c c19  60</v>
      </c>
      <c r="J862" t="str">
        <f ca="1">TEXT(TRUNC(7.9), "0" &amp; CHAR(176) &amp; " ") &amp; TEXT(INT((ABS(7.9)- INT(ABS(7.9)))*60), "0' ") &amp; TEXT(((((ABS(7.9)-INT(ABS(7.9)))*60)- INT((ABS(7.9) - INT(ABS(7.9)))*60))*60), " 0''")</f>
        <v>7°c c54  0</v>
      </c>
    </row>
    <row r="863" spans="1:10">
      <c r="A863" t="s">
        <v>58</v>
      </c>
      <c r="B863" s="2">
        <v>3600</v>
      </c>
      <c r="C863" t="s">
        <v>24</v>
      </c>
      <c r="D863" t="s">
        <v>403</v>
      </c>
      <c r="E863" t="s">
        <v>404</v>
      </c>
      <c r="F863" t="s">
        <v>405</v>
      </c>
      <c r="G863" t="s">
        <v>15</v>
      </c>
      <c r="H863" s="3">
        <v>39818.418055555558</v>
      </c>
      <c r="I863" t="str">
        <f ca="1">TEXT(TRUNC(44.80417), "0" &amp; CHAR(176) &amp; " ") &amp; TEXT(INT((ABS(44.80417)- INT(ABS(44.80417)))*60), "0' ") &amp; TEXT(((((ABS(44.80417)-INT(ABS(44.80417)))*60)- INT((ABS(44.80417) - INT(ABS(44.80417)))*60))*60), " 0''")</f>
        <v>44°c c48  15</v>
      </c>
      <c r="J863" t="str">
        <f ca="1">TEXT(TRUNC(-93.16667), "0" &amp; CHAR(176) &amp; " ") &amp; TEXT(INT((ABS(-93.16667)- INT(ABS(-93.16667)))*60), "0' ") &amp; TEXT(((((ABS(-93.16667)-INT(ABS(-93.16667)))*60)- INT((ABS(-93.16667) - INT(ABS(-93.16667)))*60))*60), " 0''")</f>
        <v>-93°c c10  0</v>
      </c>
    </row>
    <row r="864" spans="1:10">
      <c r="A864" t="s">
        <v>58</v>
      </c>
      <c r="B864" s="2">
        <v>3600</v>
      </c>
      <c r="C864" t="s">
        <v>33</v>
      </c>
      <c r="D864" t="s">
        <v>414</v>
      </c>
      <c r="E864" t="s">
        <v>415</v>
      </c>
      <c r="F864" t="s">
        <v>391</v>
      </c>
      <c r="G864" t="s">
        <v>15</v>
      </c>
      <c r="H864" s="3">
        <v>39818.450694444444</v>
      </c>
      <c r="I864" t="str">
        <f ca="1">TEXT(TRUNC(21.42556), "0" &amp; CHAR(176) &amp; " ") &amp; TEXT(INT((ABS(21.42556)- INT(ABS(21.42556)))*60), "0' ") &amp; TEXT(((((ABS(21.42556)-INT(ABS(21.42556)))*60)- INT((ABS(21.42556) - INT(ABS(21.42556)))*60))*60), " 0''")</f>
        <v>21°c c25  32</v>
      </c>
      <c r="J864" t="str">
        <f ca="1">TEXT(TRUNC(-157.96083), "0" &amp; CHAR(176) &amp; " ") &amp; TEXT(INT((ABS(-157.96083)- INT(ABS(-157.96083)))*60), "0' ") &amp; TEXT(((((ABS(-157.96083)-INT(ABS(-157.96083)))*60)- INT((ABS(-157.96083) - INT(ABS(-157.96083)))*60))*60), " 0''")</f>
        <v>-157°c c57  39</v>
      </c>
    </row>
    <row r="865" spans="1:10">
      <c r="A865" t="s">
        <v>58</v>
      </c>
      <c r="B865" s="2">
        <v>3600</v>
      </c>
      <c r="C865" t="s">
        <v>24</v>
      </c>
      <c r="D865" t="s">
        <v>456</v>
      </c>
      <c r="E865" t="s">
        <v>457</v>
      </c>
      <c r="F865" t="s">
        <v>113</v>
      </c>
      <c r="G865" t="s">
        <v>49</v>
      </c>
      <c r="H865" s="3">
        <v>39818.833333333336</v>
      </c>
      <c r="I865" t="str">
        <f ca="1">TEXT(TRUNC(-27.1666667), "0" &amp; CHAR(176) &amp; " ") &amp; TEXT(INT((ABS(-27.1666667)- INT(ABS(-27.1666667)))*60), "0' ") &amp; TEXT(((((ABS(-27.1666667)-INT(ABS(-27.1666667)))*60)- INT((ABS(-27.1666667) - INT(ABS(-27.1666667)))*60))*60), " 0''")</f>
        <v>-27°c c10  0</v>
      </c>
      <c r="J865" t="str">
        <f ca="1">TEXT(TRUNC(152.95), "0" &amp; CHAR(176) &amp; " ") &amp; TEXT(INT((ABS(152.95)- INT(ABS(152.95)))*60), "0' ") &amp; TEXT(((((ABS(152.95)-INT(ABS(152.95)))*60)- INT((ABS(152.95) - INT(ABS(152.95)))*60))*60), " 0''")</f>
        <v>152°c c56  60</v>
      </c>
    </row>
    <row r="866" spans="1:10">
      <c r="A866" t="s">
        <v>58</v>
      </c>
      <c r="B866" s="2">
        <v>3600</v>
      </c>
      <c r="C866" t="s">
        <v>24</v>
      </c>
      <c r="D866" t="s">
        <v>485</v>
      </c>
      <c r="E866" t="s">
        <v>118</v>
      </c>
      <c r="F866" t="s">
        <v>53</v>
      </c>
      <c r="G866" t="s">
        <v>54</v>
      </c>
      <c r="H866" s="3">
        <v>39819.322916666664</v>
      </c>
      <c r="I866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866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867" spans="1:10">
      <c r="A867" t="s">
        <v>58</v>
      </c>
      <c r="B867" s="2">
        <v>3600</v>
      </c>
      <c r="C867" t="s">
        <v>24</v>
      </c>
      <c r="D867" t="s">
        <v>496</v>
      </c>
      <c r="E867" t="s">
        <v>497</v>
      </c>
      <c r="F867" t="s">
        <v>439</v>
      </c>
      <c r="G867" t="s">
        <v>15</v>
      </c>
      <c r="H867" s="3">
        <v>39819.470138888886</v>
      </c>
      <c r="I867" t="str">
        <f ca="1">TEXT(TRUNC(38.98222), "0" &amp; CHAR(176) &amp; " ") &amp; TEXT(INT((ABS(38.98222)- INT(ABS(38.98222)))*60), "0' ") &amp; TEXT(((((ABS(38.98222)-INT(ABS(38.98222)))*60)- INT((ABS(38.98222) - INT(ABS(38.98222)))*60))*60), " 0''")</f>
        <v>38°c c58  56</v>
      </c>
      <c r="J867" t="str">
        <f ca="1">TEXT(TRUNC(-94.67056), "0" &amp; CHAR(176) &amp; " ") &amp; TEXT(INT((ABS(-94.67056)- INT(ABS(-94.67056)))*60), "0' ") &amp; TEXT(((((ABS(-94.67056)-INT(ABS(-94.67056)))*60)- INT((ABS(-94.67056) - INT(ABS(-94.67056)))*60))*60), " 0''")</f>
        <v>-94°c c40  14</v>
      </c>
    </row>
    <row r="868" spans="1:10">
      <c r="A868" t="s">
        <v>58</v>
      </c>
      <c r="B868" s="2">
        <v>3600</v>
      </c>
      <c r="C868" t="s">
        <v>33</v>
      </c>
      <c r="D868" t="s">
        <v>501</v>
      </c>
      <c r="E868" t="s">
        <v>502</v>
      </c>
      <c r="F868" t="s">
        <v>57</v>
      </c>
      <c r="G868" t="s">
        <v>15</v>
      </c>
      <c r="H868" s="3">
        <v>39819.53125</v>
      </c>
      <c r="I868" t="str">
        <f ca="1">TEXT(TRUNC(38.29972), "0" &amp; CHAR(176) &amp; " ") &amp; TEXT(INT((ABS(38.29972)- INT(ABS(38.29972)))*60), "0' ") &amp; TEXT(((((ABS(38.29972)-INT(ABS(38.29972)))*60)- INT((ABS(38.29972) - INT(ABS(38.29972)))*60))*60), " 0''")</f>
        <v>38°c c17  59</v>
      </c>
      <c r="J868" t="str">
        <f ca="1">TEXT(TRUNC(-122.66556), "0" &amp; CHAR(176) &amp; " ") &amp; TEXT(INT((ABS(-122.66556)- INT(ABS(-122.66556)))*60), "0' ") &amp; TEXT(((((ABS(-122.66556)-INT(ABS(-122.66556)))*60)- INT((ABS(-122.66556) - INT(ABS(-122.66556)))*60))*60), " 0''")</f>
        <v>-122°c c39  56</v>
      </c>
    </row>
    <row r="869" spans="1:10">
      <c r="A869" t="s">
        <v>58</v>
      </c>
      <c r="B869" s="2">
        <v>3600</v>
      </c>
      <c r="C869" t="s">
        <v>11</v>
      </c>
      <c r="D869" t="s">
        <v>366</v>
      </c>
      <c r="E869" t="s">
        <v>269</v>
      </c>
      <c r="F869" t="s">
        <v>270</v>
      </c>
      <c r="G869" t="s">
        <v>31</v>
      </c>
      <c r="H869" s="3">
        <v>39819.609722222223</v>
      </c>
      <c r="I86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869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870" spans="1:10">
      <c r="A870" t="s">
        <v>58</v>
      </c>
      <c r="B870" s="2">
        <v>3600</v>
      </c>
      <c r="C870" t="s">
        <v>24</v>
      </c>
      <c r="D870" t="s">
        <v>516</v>
      </c>
      <c r="E870" t="s">
        <v>517</v>
      </c>
      <c r="F870" t="s">
        <v>68</v>
      </c>
      <c r="G870" t="s">
        <v>15</v>
      </c>
      <c r="H870" s="3">
        <v>39819.672222222223</v>
      </c>
      <c r="I870" t="str">
        <f ca="1">TEXT(TRUNC(47.60639), "0" &amp; CHAR(176) &amp; " ") &amp; TEXT(INT((ABS(47.60639)- INT(ABS(47.60639)))*60), "0' ") &amp; TEXT(((((ABS(47.60639)-INT(ABS(47.60639)))*60)- INT((ABS(47.60639) - INT(ABS(47.60639)))*60))*60), " 0''")</f>
        <v>47°c c36  23</v>
      </c>
      <c r="J870" t="str">
        <f ca="1">TEXT(TRUNC(-122.33083), "0" &amp; CHAR(176) &amp; " ") &amp; TEXT(INT((ABS(-122.33083)- INT(ABS(-122.33083)))*60), "0' ") &amp; TEXT(((((ABS(-122.33083)-INT(ABS(-122.33083)))*60)- INT((ABS(-122.33083) - INT(ABS(-122.33083)))*60))*60), " 0''")</f>
        <v>-122°c c19  51</v>
      </c>
    </row>
    <row r="871" spans="1:10">
      <c r="A871" t="s">
        <v>58</v>
      </c>
      <c r="B871" s="2">
        <v>3600</v>
      </c>
      <c r="C871" t="s">
        <v>11</v>
      </c>
      <c r="D871" t="s">
        <v>526</v>
      </c>
      <c r="E871" t="s">
        <v>527</v>
      </c>
      <c r="F871" t="s">
        <v>190</v>
      </c>
      <c r="G871" t="s">
        <v>15</v>
      </c>
      <c r="H871" s="3">
        <v>39819.757638888892</v>
      </c>
      <c r="I871" t="str">
        <f ca="1">TEXT(TRUNC(42.47083), "0" &amp; CHAR(176) &amp; " ") &amp; TEXT(INT((ABS(42.47083)- INT(ABS(42.47083)))*60), "0' ") &amp; TEXT(((((ABS(42.47083)-INT(ABS(42.47083)))*60)- INT((ABS(42.47083) - INT(ABS(42.47083)))*60))*60), " 0''")</f>
        <v>42°c c28  15</v>
      </c>
      <c r="J871" t="str">
        <f ca="1">TEXT(TRUNC(-70.91806), "0" &amp; CHAR(176) &amp; " ") &amp; TEXT(INT((ABS(-70.91806)- INT(ABS(-70.91806)))*60), "0' ") &amp; TEXT(((((ABS(-70.91806)-INT(ABS(-70.91806)))*60)- INT((ABS(-70.91806) - INT(ABS(-70.91806)))*60))*60), " 0''")</f>
        <v>-70°c c55  5</v>
      </c>
    </row>
    <row r="872" spans="1:10">
      <c r="A872" t="s">
        <v>58</v>
      </c>
      <c r="B872" s="2">
        <v>3600</v>
      </c>
      <c r="C872" t="s">
        <v>11</v>
      </c>
      <c r="D872" t="s">
        <v>530</v>
      </c>
      <c r="E872" t="s">
        <v>531</v>
      </c>
      <c r="F872" t="s">
        <v>252</v>
      </c>
      <c r="G872" t="s">
        <v>81</v>
      </c>
      <c r="H872" s="3">
        <v>39819.86041666667</v>
      </c>
      <c r="I872" t="str">
        <f ca="1">TEXT(TRUNC(49.1333333), "0" &amp; CHAR(176) &amp; " ") &amp; TEXT(INT((ABS(49.1333333)- INT(ABS(49.1333333)))*60), "0' ") &amp; TEXT(((((ABS(49.1333333)-INT(ABS(49.1333333)))*60)- INT((ABS(49.1333333) - INT(ABS(49.1333333)))*60))*60), " 0''")</f>
        <v>49°c c7  60</v>
      </c>
      <c r="J872" t="str">
        <f ca="1">TEXT(TRUNC(-122.3), "0" &amp; CHAR(176) &amp; " ") &amp; TEXT(INT((ABS(-122.3)- INT(ABS(-122.3)))*60), "0' ") &amp; TEXT(((((ABS(-122.3)-INT(ABS(-122.3)))*60)- INT((ABS(-122.3) - INT(ABS(-122.3)))*60))*60), " 0''")</f>
        <v>-122°c c17  60</v>
      </c>
    </row>
    <row r="873" spans="1:10">
      <c r="A873" t="s">
        <v>58</v>
      </c>
      <c r="B873" s="2">
        <v>3600</v>
      </c>
      <c r="C873" t="s">
        <v>33</v>
      </c>
      <c r="D873" t="s">
        <v>533</v>
      </c>
      <c r="E873" t="s">
        <v>534</v>
      </c>
      <c r="F873" t="s">
        <v>535</v>
      </c>
      <c r="G873" t="s">
        <v>15</v>
      </c>
      <c r="H873" s="3">
        <v>39819.929861111108</v>
      </c>
      <c r="I873" t="str">
        <f ca="1">TEXT(TRUNC(43.77222), "0" &amp; CHAR(176) &amp; " ") &amp; TEXT(INT((ABS(43.77222)- INT(ABS(43.77222)))*60), "0' ") &amp; TEXT(((((ABS(43.77222)-INT(ABS(43.77222)))*60)- INT((ABS(43.77222) - INT(ABS(43.77222)))*60))*60), " 0''")</f>
        <v>43°c c46  20</v>
      </c>
      <c r="J873" t="str">
        <f ca="1">TEXT(TRUNC(-72.81333), "0" &amp; CHAR(176) &amp; " ") &amp; TEXT(INT((ABS(-72.81333)- INT(ABS(-72.81333)))*60), "0' ") &amp; TEXT(((((ABS(-72.81333)-INT(ABS(-72.81333)))*60)- INT((ABS(-72.81333) - INT(ABS(-72.81333)))*60))*60), " 0''")</f>
        <v>-72°c c48  48</v>
      </c>
    </row>
    <row r="874" spans="1:10">
      <c r="A874" t="s">
        <v>58</v>
      </c>
      <c r="B874" s="2">
        <v>3600</v>
      </c>
      <c r="C874" t="s">
        <v>33</v>
      </c>
      <c r="D874" t="s">
        <v>216</v>
      </c>
      <c r="E874" t="s">
        <v>534</v>
      </c>
      <c r="F874" t="s">
        <v>535</v>
      </c>
      <c r="G874" t="s">
        <v>15</v>
      </c>
      <c r="H874" s="3">
        <v>39819.958333333336</v>
      </c>
      <c r="I874" t="str">
        <f ca="1">TEXT(TRUNC(43.77222), "0" &amp; CHAR(176) &amp; " ") &amp; TEXT(INT((ABS(43.77222)- INT(ABS(43.77222)))*60), "0' ") &amp; TEXT(((((ABS(43.77222)-INT(ABS(43.77222)))*60)- INT((ABS(43.77222) - INT(ABS(43.77222)))*60))*60), " 0''")</f>
        <v>43°c c46  20</v>
      </c>
      <c r="J874" t="str">
        <f ca="1">TEXT(TRUNC(-72.81333), "0" &amp; CHAR(176) &amp; " ") &amp; TEXT(INT((ABS(-72.81333)- INT(ABS(-72.81333)))*60), "0' ") &amp; TEXT(((((ABS(-72.81333)-INT(ABS(-72.81333)))*60)- INT((ABS(-72.81333) - INT(ABS(-72.81333)))*60))*60), " 0''")</f>
        <v>-72°c c48  48</v>
      </c>
    </row>
    <row r="875" spans="1:10">
      <c r="A875" t="s">
        <v>58</v>
      </c>
      <c r="B875" s="2">
        <v>3600</v>
      </c>
      <c r="C875" t="s">
        <v>11</v>
      </c>
      <c r="D875" t="s">
        <v>536</v>
      </c>
      <c r="E875" t="s">
        <v>537</v>
      </c>
      <c r="F875" t="s">
        <v>237</v>
      </c>
      <c r="G875" t="s">
        <v>75</v>
      </c>
      <c r="H875" s="3">
        <v>39820.008333333331</v>
      </c>
      <c r="I875" t="str">
        <f ca="1">TEXT(TRUNC(46.5333333), "0" &amp; CHAR(176) &amp; " ") &amp; TEXT(INT((ABS(46.5333333)- INT(ABS(46.5333333)))*60), "0' ") &amp; TEXT(((((ABS(46.5333333)-INT(ABS(46.5333333)))*60)- INT((ABS(46.5333333) - INT(ABS(46.5333333)))*60))*60), " 0''")</f>
        <v>46°c c31  60</v>
      </c>
      <c r="J875" t="str">
        <f ca="1">TEXT(TRUNC(6.6666667), "0" &amp; CHAR(176) &amp; " ") &amp; TEXT(INT((ABS(6.6666667)- INT(ABS(6.6666667)))*60), "0' ") &amp; TEXT(((((ABS(6.6666667)-INT(ABS(6.6666667)))*60)- INT((ABS(6.6666667) - INT(ABS(6.6666667)))*60))*60), " 0''")</f>
        <v>6°c c40  0</v>
      </c>
    </row>
    <row r="876" spans="1:10">
      <c r="A876" t="s">
        <v>58</v>
      </c>
      <c r="B876" s="2">
        <v>3600</v>
      </c>
      <c r="C876" t="s">
        <v>24</v>
      </c>
      <c r="D876" t="s">
        <v>544</v>
      </c>
      <c r="E876" t="s">
        <v>372</v>
      </c>
      <c r="F876" t="s">
        <v>323</v>
      </c>
      <c r="G876" t="s">
        <v>174</v>
      </c>
      <c r="H876" s="3">
        <v>39820.257638888892</v>
      </c>
      <c r="I876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876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877" spans="1:10">
      <c r="A877" t="s">
        <v>58</v>
      </c>
      <c r="B877" s="2">
        <v>3600</v>
      </c>
      <c r="C877" t="s">
        <v>24</v>
      </c>
      <c r="D877" t="s">
        <v>570</v>
      </c>
      <c r="E877" t="s">
        <v>571</v>
      </c>
      <c r="F877" t="s">
        <v>90</v>
      </c>
      <c r="G877" t="s">
        <v>15</v>
      </c>
      <c r="H877" s="3">
        <v>39820.450694444444</v>
      </c>
      <c r="I877" t="str">
        <f ca="1">TEXT(TRUNC(38.99056), "0" &amp; CHAR(176) &amp; " ") &amp; TEXT(INT((ABS(38.99056)- INT(ABS(38.99056)))*60), "0' ") &amp; TEXT(((((ABS(38.99056)-INT(ABS(38.99056)))*60)- INT((ABS(38.99056) - INT(ABS(38.99056)))*60))*60), " 0''")</f>
        <v>38°c c59  26</v>
      </c>
      <c r="J877" t="str">
        <f ca="1">TEXT(TRUNC(-77.02639), "0" &amp; CHAR(176) &amp; " ") &amp; TEXT(INT((ABS(-77.02639)- INT(ABS(-77.02639)))*60), "0' ") &amp; TEXT(((((ABS(-77.02639)-INT(ABS(-77.02639)))*60)- INT((ABS(-77.02639) - INT(ABS(-77.02639)))*60))*60), " 0''")</f>
        <v>-77°c c1  35</v>
      </c>
    </row>
    <row r="878" spans="1:10">
      <c r="A878" t="s">
        <v>58</v>
      </c>
      <c r="B878" s="2">
        <v>3600</v>
      </c>
      <c r="C878" t="s">
        <v>24</v>
      </c>
      <c r="D878" t="s">
        <v>576</v>
      </c>
      <c r="E878" t="s">
        <v>577</v>
      </c>
      <c r="F878" t="s">
        <v>578</v>
      </c>
      <c r="G878" t="s">
        <v>42</v>
      </c>
      <c r="H878" s="3">
        <v>39820.527083333334</v>
      </c>
      <c r="I878" t="str">
        <f ca="1">TEXT(TRUNC(45.4666667), "0" &amp; CHAR(176) &amp; " ") &amp; TEXT(INT((ABS(45.4666667)- INT(ABS(45.4666667)))*60), "0' ") &amp; TEXT(((((ABS(45.4666667)-INT(ABS(45.4666667)))*60)- INT((ABS(45.4666667) - INT(ABS(45.4666667)))*60))*60), " 0''")</f>
        <v>45°c c28  0</v>
      </c>
      <c r="J878" t="str">
        <f ca="1">TEXT(TRUNC(9.2), "0" &amp; CHAR(176) &amp; " ") &amp; TEXT(INT((ABS(9.2)- INT(ABS(9.2)))*60), "0' ") &amp; TEXT(((((ABS(9.2)-INT(ABS(9.2)))*60)- INT((ABS(9.2) - INT(ABS(9.2)))*60))*60), " 0''")</f>
        <v>9°c c11  60</v>
      </c>
    </row>
    <row r="879" spans="1:10">
      <c r="A879" t="s">
        <v>58</v>
      </c>
      <c r="B879" s="2">
        <v>3600</v>
      </c>
      <c r="C879" t="s">
        <v>24</v>
      </c>
      <c r="D879" t="s">
        <v>581</v>
      </c>
      <c r="E879" t="s">
        <v>582</v>
      </c>
      <c r="F879" t="s">
        <v>237</v>
      </c>
      <c r="G879" t="s">
        <v>75</v>
      </c>
      <c r="H879" s="3">
        <v>39820.542361111111</v>
      </c>
      <c r="I879" t="str">
        <f ca="1">TEXT(TRUNC(46.4166667), "0" &amp; CHAR(176) &amp; " ") &amp; TEXT(INT((ABS(46.4166667)- INT(ABS(46.4166667)))*60), "0' ") &amp; TEXT(((((ABS(46.4166667)-INT(ABS(46.4166667)))*60)- INT((ABS(46.4166667) - INT(ABS(46.4166667)))*60))*60), " 0''")</f>
        <v>46°c c25  0</v>
      </c>
      <c r="J879" t="str">
        <f ca="1">TEXT(TRUNC(6.2), "0" &amp; CHAR(176) &amp; " ") &amp; TEXT(INT((ABS(6.2)- INT(ABS(6.2)))*60), "0' ") &amp; TEXT(((((ABS(6.2)-INT(ABS(6.2)))*60)- INT((ABS(6.2) - INT(ABS(6.2)))*60))*60), " 0''")</f>
        <v>6°c c12  0</v>
      </c>
    </row>
    <row r="880" spans="1:10">
      <c r="A880" t="s">
        <v>58</v>
      </c>
      <c r="B880" s="2">
        <v>3600</v>
      </c>
      <c r="C880" t="s">
        <v>24</v>
      </c>
      <c r="D880" t="s">
        <v>603</v>
      </c>
      <c r="E880" t="s">
        <v>604</v>
      </c>
      <c r="F880" t="s">
        <v>98</v>
      </c>
      <c r="G880" t="s">
        <v>15</v>
      </c>
      <c r="H880" s="3">
        <v>39820.633333333331</v>
      </c>
      <c r="I880" t="str">
        <f ca="1">TEXT(TRUNC(41.54278), "0" &amp; CHAR(176) &amp; " ") &amp; TEXT(INT((ABS(41.54278)- INT(ABS(41.54278)))*60), "0' ") &amp; TEXT(((((ABS(41.54278)-INT(ABS(41.54278)))*60)- INT((ABS(41.54278) - INT(ABS(41.54278)))*60))*60), " 0''")</f>
        <v>41°c c32  34</v>
      </c>
      <c r="J880" t="str">
        <f ca="1">TEXT(TRUNC(-87.68472), "0" &amp; CHAR(176) &amp; " ") &amp; TEXT(INT((ABS(-87.68472)- INT(ABS(-87.68472)))*60), "0' ") &amp; TEXT(((((ABS(-87.68472)-INT(ABS(-87.68472)))*60)- INT((ABS(-87.68472) - INT(ABS(-87.68472)))*60))*60), " 0''")</f>
        <v>-87°c c41  5</v>
      </c>
    </row>
    <row r="881" spans="1:10">
      <c r="A881" t="s">
        <v>58</v>
      </c>
      <c r="B881" s="2">
        <v>3600</v>
      </c>
      <c r="C881" t="s">
        <v>11</v>
      </c>
      <c r="D881" t="s">
        <v>253</v>
      </c>
      <c r="E881" t="s">
        <v>612</v>
      </c>
      <c r="F881" t="s">
        <v>259</v>
      </c>
      <c r="G881" t="s">
        <v>15</v>
      </c>
      <c r="H881" s="3">
        <v>39820.79375</v>
      </c>
      <c r="I881" t="str">
        <f ca="1">TEXT(TRUNC(39.64778), "0" &amp; CHAR(176) &amp; " ") &amp; TEXT(INT((ABS(39.64778)- INT(ABS(39.64778)))*60), "0' ") &amp; TEXT(((((ABS(39.64778)-INT(ABS(39.64778)))*60)- INT((ABS(39.64778) - INT(ABS(39.64778)))*60))*60), " 0''")</f>
        <v>39°c c38  52</v>
      </c>
      <c r="J881" t="str">
        <f ca="1">TEXT(TRUNC(-104.98722), "0" &amp; CHAR(176) &amp; " ") &amp; TEXT(INT((ABS(-104.98722)- INT(ABS(-104.98722)))*60), "0' ") &amp; TEXT(((((ABS(-104.98722)-INT(ABS(-104.98722)))*60)- INT((ABS(-104.98722) - INT(ABS(-104.98722)))*60))*60), " 0''")</f>
        <v>-104°c c59  14</v>
      </c>
    </row>
    <row r="882" spans="1:10">
      <c r="A882" t="s">
        <v>58</v>
      </c>
      <c r="B882" s="2">
        <v>3600</v>
      </c>
      <c r="C882" t="s">
        <v>33</v>
      </c>
      <c r="D882" t="s">
        <v>365</v>
      </c>
      <c r="E882" t="s">
        <v>613</v>
      </c>
      <c r="F882" t="s">
        <v>45</v>
      </c>
      <c r="G882" t="s">
        <v>15</v>
      </c>
      <c r="H882" s="3">
        <v>39820.79583333333</v>
      </c>
      <c r="I882" t="str">
        <f ca="1">TEXT(TRUNC(28.53806), "0" &amp; CHAR(176) &amp; " ") &amp; TEXT(INT((ABS(28.53806)- INT(ABS(28.53806)))*60), "0' ") &amp; TEXT(((((ABS(28.53806)-INT(ABS(28.53806)))*60)- INT((ABS(28.53806) - INT(ABS(28.53806)))*60))*60), " 0''")</f>
        <v>28°c c32  17</v>
      </c>
      <c r="J882" t="str">
        <f ca="1">TEXT(TRUNC(-81.37944), "0" &amp; CHAR(176) &amp; " ") &amp; TEXT(INT((ABS(-81.37944)- INT(ABS(-81.37944)))*60), "0' ") &amp; TEXT(((((ABS(-81.37944)-INT(ABS(-81.37944)))*60)- INT((ABS(-81.37944) - INT(ABS(-81.37944)))*60))*60), " 0''")</f>
        <v>-81°c c22  46</v>
      </c>
    </row>
    <row r="883" spans="1:10">
      <c r="A883" t="s">
        <v>58</v>
      </c>
      <c r="B883" s="2">
        <v>3600</v>
      </c>
      <c r="C883" t="s">
        <v>11</v>
      </c>
      <c r="D883" t="s">
        <v>615</v>
      </c>
      <c r="E883" t="s">
        <v>569</v>
      </c>
      <c r="F883" t="s">
        <v>267</v>
      </c>
      <c r="G883" t="s">
        <v>49</v>
      </c>
      <c r="H883" s="3">
        <v>39820.825</v>
      </c>
      <c r="I883" t="str">
        <f ca="1">TEXT(TRUNC(-33.8833333), "0" &amp; CHAR(176) &amp; " ") &amp; TEXT(INT((ABS(-33.8833333)- INT(ABS(-33.8833333)))*60), "0' ") &amp; TEXT(((((ABS(-33.8833333)-INT(ABS(-33.8833333)))*60)- INT((ABS(-33.8833333) - INT(ABS(-33.8833333)))*60))*60), " 0''")</f>
        <v>-33°c c52  60</v>
      </c>
      <c r="J883" t="str">
        <f ca="1">TEXT(TRUNC(151.2166667), "0" &amp; CHAR(176) &amp; " ") &amp; TEXT(INT((ABS(151.2166667)- INT(ABS(151.2166667)))*60), "0' ") &amp; TEXT(((((ABS(151.2166667)-INT(ABS(151.2166667)))*60)- INT((ABS(151.2166667) - INT(ABS(151.2166667)))*60))*60), " 0''")</f>
        <v>151°c c13  0</v>
      </c>
    </row>
    <row r="884" spans="1:10">
      <c r="A884" t="s">
        <v>58</v>
      </c>
      <c r="B884" s="2">
        <v>3600</v>
      </c>
      <c r="C884" t="s">
        <v>11</v>
      </c>
      <c r="D884" t="s">
        <v>633</v>
      </c>
      <c r="E884" t="s">
        <v>634</v>
      </c>
      <c r="F884" t="s">
        <v>237</v>
      </c>
      <c r="G884" t="s">
        <v>75</v>
      </c>
      <c r="H884" s="3">
        <v>39821.117361111108</v>
      </c>
      <c r="I884" t="str">
        <f ca="1">TEXT(TRUNC(46.4333333), "0" &amp; CHAR(176) &amp; " ") &amp; TEXT(INT((ABS(46.4333333)- INT(ABS(46.4333333)))*60), "0' ") &amp; TEXT(((((ABS(46.4333333)-INT(ABS(46.4333333)))*60)- INT((ABS(46.4333333) - INT(ABS(46.4333333)))*60))*60), " 0''")</f>
        <v>46°c c25  60</v>
      </c>
      <c r="J884" t="str">
        <f ca="1">TEXT(TRUNC(6.25), "0" &amp; CHAR(176) &amp; " ") &amp; TEXT(INT((ABS(6.25)- INT(ABS(6.25)))*60), "0' ") &amp; TEXT(((((ABS(6.25)-INT(ABS(6.25)))*60)- INT((ABS(6.25) - INT(ABS(6.25)))*60))*60), " 0''")</f>
        <v>6°c c15  0</v>
      </c>
    </row>
    <row r="885" spans="1:10">
      <c r="A885" t="s">
        <v>58</v>
      </c>
      <c r="B885" s="2">
        <v>3600</v>
      </c>
      <c r="C885" t="s">
        <v>24</v>
      </c>
      <c r="D885" t="s">
        <v>660</v>
      </c>
      <c r="E885" t="s">
        <v>661</v>
      </c>
      <c r="F885" t="s">
        <v>394</v>
      </c>
      <c r="G885" t="s">
        <v>75</v>
      </c>
      <c r="H885" s="3">
        <v>39821.468055555553</v>
      </c>
      <c r="I885" t="str">
        <f ca="1">TEXT(TRUNC(47.2833333), "0" &amp; CHAR(176) &amp; " ") &amp; TEXT(INT((ABS(47.2833333)- INT(ABS(47.2833333)))*60), "0' ") &amp; TEXT(((((ABS(47.2833333)-INT(ABS(47.2833333)))*60)- INT((ABS(47.2833333) - INT(ABS(47.2833333)))*60))*60), " 0''")</f>
        <v>47°c c16  60</v>
      </c>
      <c r="J885" t="str">
        <f ca="1">TEXT(TRUNC(8.5333333), "0" &amp; CHAR(176) &amp; " ") &amp; TEXT(INT((ABS(8.5333333)- INT(ABS(8.5333333)))*60), "0' ") &amp; TEXT(((((ABS(8.5333333)-INT(ABS(8.5333333)))*60)- INT((ABS(8.5333333) - INT(ABS(8.5333333)))*60))*60), " 0''")</f>
        <v>8°c c31  60</v>
      </c>
    </row>
    <row r="886" spans="1:10">
      <c r="A886" t="s">
        <v>58</v>
      </c>
      <c r="B886" s="2">
        <v>3600</v>
      </c>
      <c r="C886" t="s">
        <v>24</v>
      </c>
      <c r="D886" t="s">
        <v>662</v>
      </c>
      <c r="E886" t="s">
        <v>663</v>
      </c>
      <c r="F886" t="s">
        <v>664</v>
      </c>
      <c r="G886" t="s">
        <v>23</v>
      </c>
      <c r="H886" s="3">
        <v>39821.496527777781</v>
      </c>
      <c r="I886" t="str">
        <f ca="1">TEXT(TRUNC(52.2666667), "0" &amp; CHAR(176) &amp; " ") &amp; TEXT(INT((ABS(52.2666667)- INT(ABS(52.2666667)))*60), "0' ") &amp; TEXT(((((ABS(52.2666667)-INT(ABS(52.2666667)))*60)- INT((ABS(52.2666667) - INT(ABS(52.2666667)))*60))*60), " 0''")</f>
        <v>52°c c16  0</v>
      </c>
      <c r="J886" t="str">
        <f ca="1">TEXT(TRUNC(10.5333333), "0" &amp; CHAR(176) &amp; " ") &amp; TEXT(INT((ABS(10.5333333)- INT(ABS(10.5333333)))*60), "0' ") &amp; TEXT(((((ABS(10.5333333)-INT(ABS(10.5333333)))*60)- INT((ABS(10.5333333) - INT(ABS(10.5333333)))*60))*60), " 0''")</f>
        <v>10°c c31  60</v>
      </c>
    </row>
    <row r="887" spans="1:10">
      <c r="A887" t="s">
        <v>58</v>
      </c>
      <c r="B887" s="2">
        <v>3600</v>
      </c>
      <c r="C887" t="s">
        <v>24</v>
      </c>
      <c r="D887" t="s">
        <v>688</v>
      </c>
      <c r="E887" t="s">
        <v>689</v>
      </c>
      <c r="F887" t="s">
        <v>476</v>
      </c>
      <c r="G887" t="s">
        <v>15</v>
      </c>
      <c r="H887" s="3">
        <v>39821.80972222222</v>
      </c>
      <c r="I887" t="str">
        <f ca="1">TEXT(TRUNC(33.81861), "0" &amp; CHAR(176) &amp; " ") &amp; TEXT(INT((ABS(33.81861)- INT(ABS(33.81861)))*60), "0' ") &amp; TEXT(((((ABS(33.81861)-INT(ABS(33.81861)))*60)- INT((ABS(33.81861) - INT(ABS(33.81861)))*60))*60), " 0''")</f>
        <v>33°c c49  7</v>
      </c>
      <c r="J887" t="str">
        <f ca="1">TEXT(TRUNC(-84.5825), "0" &amp; CHAR(176) &amp; " ") &amp; TEXT(INT((ABS(-84.5825)- INT(ABS(-84.5825)))*60), "0' ") &amp; TEXT(((((ABS(-84.5825)-INT(ABS(-84.5825)))*60)- INT((ABS(-84.5825) - INT(ABS(-84.5825)))*60))*60), " 0''")</f>
        <v>-84°c c34  57</v>
      </c>
    </row>
    <row r="888" spans="1:10">
      <c r="A888" t="s">
        <v>58</v>
      </c>
      <c r="B888" s="2">
        <v>3600</v>
      </c>
      <c r="C888" t="s">
        <v>11</v>
      </c>
      <c r="D888" t="s">
        <v>690</v>
      </c>
      <c r="E888" t="s">
        <v>691</v>
      </c>
      <c r="F888" t="s">
        <v>692</v>
      </c>
      <c r="G888" t="s">
        <v>693</v>
      </c>
      <c r="H888" s="3">
        <v>39821.811805555553</v>
      </c>
      <c r="I888" t="str">
        <f ca="1">TEXT(TRUNC(13.9166667), "0" &amp; CHAR(176) &amp; " ") &amp; TEXT(INT((ABS(13.9166667)- INT(ABS(13.9166667)))*60), "0' ") &amp; TEXT(((((ABS(13.9166667)-INT(ABS(13.9166667)))*60)- INT((ABS(13.9166667) - INT(ABS(13.9166667)))*60))*60), " 0''")</f>
        <v>13°c c55  0</v>
      </c>
      <c r="J888" t="str">
        <f ca="1">TEXT(TRUNC(100.8166667), "0" &amp; CHAR(176) &amp; " ") &amp; TEXT(INT((ABS(100.8166667)- INT(ABS(100.8166667)))*60), "0' ") &amp; TEXT(((((ABS(100.8166667)-INT(ABS(100.8166667)))*60)- INT((ABS(100.8166667) - INT(ABS(100.8166667)))*60))*60), " 0''")</f>
        <v>100°c c49  0</v>
      </c>
    </row>
    <row r="889" spans="1:10">
      <c r="A889" t="s">
        <v>58</v>
      </c>
      <c r="B889" s="2">
        <v>3600</v>
      </c>
      <c r="C889" t="s">
        <v>33</v>
      </c>
      <c r="D889" t="s">
        <v>702</v>
      </c>
      <c r="E889" t="s">
        <v>703</v>
      </c>
      <c r="F889" t="s">
        <v>383</v>
      </c>
      <c r="G889" t="s">
        <v>174</v>
      </c>
      <c r="H889" s="3">
        <v>39822.127083333333</v>
      </c>
      <c r="I889" t="str">
        <f ca="1">TEXT(TRUNC(46.25), "0" &amp; CHAR(176) &amp; " ") &amp; TEXT(INT((ABS(46.25)- INT(ABS(46.25)))*60), "0' ") &amp; TEXT(((((ABS(46.25)-INT(ABS(46.25)))*60)- INT((ABS(46.25) - INT(ABS(46.25)))*60))*60), " 0''")</f>
        <v>46°c c15  0</v>
      </c>
      <c r="J889" t="str">
        <f ca="1">TEXT(TRUNC(6.1166667), "0" &amp; CHAR(176) &amp; " ") &amp; TEXT(INT((ABS(6.1166667)- INT(ABS(6.1166667)))*60), "0' ") &amp; TEXT(((((ABS(6.1166667)-INT(ABS(6.1166667)))*60)- INT((ABS(6.1166667) - INT(ABS(6.1166667)))*60))*60), " 0''")</f>
        <v>6°c c7  0</v>
      </c>
    </row>
    <row r="890" spans="1:10">
      <c r="A890" t="s">
        <v>58</v>
      </c>
      <c r="B890" s="2">
        <v>3600</v>
      </c>
      <c r="C890" t="s">
        <v>24</v>
      </c>
      <c r="D890" t="s">
        <v>717</v>
      </c>
      <c r="E890" t="s">
        <v>718</v>
      </c>
      <c r="F890" t="s">
        <v>719</v>
      </c>
      <c r="G890" t="s">
        <v>15</v>
      </c>
      <c r="H890" s="3">
        <v>39822.440972222219</v>
      </c>
      <c r="I890" t="str">
        <f ca="1">TEXT(TRUNC(34.6175), "0" &amp; CHAR(176) &amp; " ") &amp; TEXT(INT((ABS(34.6175)- INT(ABS(34.6175)))*60), "0' ") &amp; TEXT(((((ABS(34.6175)-INT(ABS(34.6175)))*60)- INT((ABS(34.6175) - INT(ABS(34.6175)))*60))*60), " 0''")</f>
        <v>34°c c37  3</v>
      </c>
      <c r="J890" t="str">
        <f ca="1">TEXT(TRUNC(-89.96861), "0" &amp; CHAR(176) &amp; " ") &amp; TEXT(INT((ABS(-89.96861)- INT(ABS(-89.96861)))*60), "0' ") &amp; TEXT(((((ABS(-89.96861)-INT(ABS(-89.96861)))*60)- INT((ABS(-89.96861) - INT(ABS(-89.96861)))*60))*60), " 0''")</f>
        <v>-89°c c58  7</v>
      </c>
    </row>
    <row r="891" spans="1:10">
      <c r="A891" t="s">
        <v>58</v>
      </c>
      <c r="B891" s="2">
        <v>3600</v>
      </c>
      <c r="C891" t="s">
        <v>11</v>
      </c>
      <c r="D891" t="s">
        <v>767</v>
      </c>
      <c r="E891" t="s">
        <v>768</v>
      </c>
      <c r="F891" t="s">
        <v>57</v>
      </c>
      <c r="G891" t="s">
        <v>15</v>
      </c>
      <c r="H891" s="3">
        <v>39823.35625</v>
      </c>
      <c r="I891" t="str">
        <f ca="1">TEXT(TRUNC(37.38417), "0" &amp; CHAR(176) &amp; " ") &amp; TEXT(INT((ABS(37.38417)- INT(ABS(37.38417)))*60), "0' ") &amp; TEXT(((((ABS(37.38417)-INT(ABS(37.38417)))*60)- INT((ABS(37.38417) - INT(ABS(37.38417)))*60))*60), " 0''")</f>
        <v>37°c c23  3</v>
      </c>
      <c r="J891" t="str">
        <f ca="1">TEXT(TRUNC(-122.23417), "0" &amp; CHAR(176) &amp; " ") &amp; TEXT(INT((ABS(-122.23417)- INT(ABS(-122.23417)))*60), "0' ") &amp; TEXT(((((ABS(-122.23417)-INT(ABS(-122.23417)))*60)- INT((ABS(-122.23417) - INT(ABS(-122.23417)))*60))*60), " 0''")</f>
        <v>-122°c c14  3</v>
      </c>
    </row>
    <row r="892" spans="1:10">
      <c r="A892" t="s">
        <v>58</v>
      </c>
      <c r="B892" s="2">
        <v>3600</v>
      </c>
      <c r="C892" t="s">
        <v>11</v>
      </c>
      <c r="D892" t="s">
        <v>772</v>
      </c>
      <c r="E892" t="s">
        <v>773</v>
      </c>
      <c r="F892" t="s">
        <v>774</v>
      </c>
      <c r="G892" t="s">
        <v>15</v>
      </c>
      <c r="H892" s="3">
        <v>39823.397222222222</v>
      </c>
      <c r="I892" t="str">
        <f ca="1">TEXT(TRUNC(32.21611), "0" &amp; CHAR(176) &amp; " ") &amp; TEXT(INT((ABS(32.21611)- INT(ABS(32.21611)))*60), "0' ") &amp; TEXT(((((ABS(32.21611)-INT(ABS(32.21611)))*60)- INT((ABS(32.21611) - INT(ABS(32.21611)))*60))*60), " 0''")</f>
        <v>32°c c12  58</v>
      </c>
      <c r="J892" t="str">
        <f ca="1">TEXT(TRUNC(-80.75278), "0" &amp; CHAR(176) &amp; " ") &amp; TEXT(INT((ABS(-80.75278)- INT(ABS(-80.75278)))*60), "0' ") &amp; TEXT(((((ABS(-80.75278)-INT(ABS(-80.75278)))*60)- INT((ABS(-80.75278) - INT(ABS(-80.75278)))*60))*60), " 0''")</f>
        <v>-80°c c45  10</v>
      </c>
    </row>
    <row r="893" spans="1:10">
      <c r="A893" t="s">
        <v>58</v>
      </c>
      <c r="B893" s="2">
        <v>3600</v>
      </c>
      <c r="C893" t="s">
        <v>11</v>
      </c>
      <c r="D893" t="s">
        <v>793</v>
      </c>
      <c r="E893" t="s">
        <v>794</v>
      </c>
      <c r="F893" t="s">
        <v>57</v>
      </c>
      <c r="G893" t="s">
        <v>15</v>
      </c>
      <c r="H893" s="3">
        <v>39823.6375</v>
      </c>
      <c r="I893" t="str">
        <f ca="1">TEXT(TRUNC(33.66028), "0" &amp; CHAR(176) &amp; " ") &amp; TEXT(INT((ABS(33.66028)- INT(ABS(33.66028)))*60), "0' ") &amp; TEXT(((((ABS(33.66028)-INT(ABS(33.66028)))*60)- INT((ABS(33.66028) - INT(ABS(33.66028)))*60))*60), " 0''")</f>
        <v>33°c c39  37</v>
      </c>
      <c r="J893" t="str">
        <f ca="1">TEXT(TRUNC(-117.99833), "0" &amp; CHAR(176) &amp; " ") &amp; TEXT(INT((ABS(-117.99833)- INT(ABS(-117.99833)))*60), "0' ") &amp; TEXT(((((ABS(-117.99833)-INT(ABS(-117.99833)))*60)- INT((ABS(-117.99833) - INT(ABS(-117.99833)))*60))*60), " 0''")</f>
        <v>-117°c c59  54</v>
      </c>
    </row>
    <row r="894" spans="1:10">
      <c r="A894" t="s">
        <v>58</v>
      </c>
      <c r="B894" s="2">
        <v>3600</v>
      </c>
      <c r="C894" t="s">
        <v>24</v>
      </c>
      <c r="D894" t="s">
        <v>367</v>
      </c>
      <c r="E894" t="s">
        <v>742</v>
      </c>
      <c r="F894" t="s">
        <v>57</v>
      </c>
      <c r="G894" t="s">
        <v>15</v>
      </c>
      <c r="H894" s="3">
        <v>39823.811111111114</v>
      </c>
      <c r="I894" t="str">
        <f ca="1">TEXT(TRUNC(37.33944), "0" &amp; CHAR(176) &amp; " ") &amp; TEXT(INT((ABS(37.33944)- INT(ABS(37.33944)))*60), "0' ") &amp; TEXT(((((ABS(37.33944)-INT(ABS(37.33944)))*60)- INT((ABS(37.33944) - INT(ABS(37.33944)))*60))*60), " 0''")</f>
        <v>37°c c20  22</v>
      </c>
      <c r="J894" t="str">
        <f ca="1">TEXT(TRUNC(-121.89389), "0" &amp; CHAR(176) &amp; " ") &amp; TEXT(INT((ABS(-121.89389)- INT(ABS(-121.89389)))*60), "0' ") &amp; TEXT(((((ABS(-121.89389)-INT(ABS(-121.89389)))*60)- INT((ABS(-121.89389) - INT(ABS(-121.89389)))*60))*60), " 0''")</f>
        <v>-121°c c53  38</v>
      </c>
    </row>
    <row r="895" spans="1:10">
      <c r="A895" t="s">
        <v>58</v>
      </c>
      <c r="B895" s="2">
        <v>3600</v>
      </c>
      <c r="C895" t="s">
        <v>24</v>
      </c>
      <c r="D895" t="s">
        <v>813</v>
      </c>
      <c r="E895" t="s">
        <v>814</v>
      </c>
      <c r="F895" t="s">
        <v>513</v>
      </c>
      <c r="G895" t="s">
        <v>65</v>
      </c>
      <c r="H895" s="3">
        <v>39824.281944444447</v>
      </c>
      <c r="I895" t="str">
        <f ca="1">TEXT(TRUNC(53.3244444), "0" &amp; CHAR(176) &amp; " ") &amp; TEXT(INT((ABS(53.3244444)- INT(ABS(53.3244444)))*60), "0' ") &amp; TEXT(((((ABS(53.3244444)-INT(ABS(53.3244444)))*60)- INT((ABS(53.3244444) - INT(ABS(53.3244444)))*60))*60), " 0''")</f>
        <v>53°c c19  28</v>
      </c>
      <c r="J895" t="str">
        <f ca="1">TEXT(TRUNC(-6.3972222), "0" &amp; CHAR(176) &amp; " ") &amp; TEXT(INT((ABS(-6.3972222)- INT(ABS(-6.3972222)))*60), "0' ") &amp; TEXT(((((ABS(-6.3972222)-INT(ABS(-6.3972222)))*60)- INT((ABS(-6.3972222) - INT(ABS(-6.3972222)))*60))*60), " 0''")</f>
        <v>-6°c c23  50</v>
      </c>
    </row>
    <row r="896" spans="1:10">
      <c r="A896" t="s">
        <v>58</v>
      </c>
      <c r="B896" s="2">
        <v>3600</v>
      </c>
      <c r="C896" t="s">
        <v>24</v>
      </c>
      <c r="D896" t="s">
        <v>822</v>
      </c>
      <c r="E896" t="s">
        <v>823</v>
      </c>
      <c r="F896" t="s">
        <v>53</v>
      </c>
      <c r="G896" t="s">
        <v>54</v>
      </c>
      <c r="H896" s="3">
        <v>39824.298611111109</v>
      </c>
      <c r="I896" t="str">
        <f ca="1">TEXT(TRUNC(51.2166667), "0" &amp; CHAR(176) &amp; " ") &amp; TEXT(INT((ABS(51.2166667)- INT(ABS(51.2166667)))*60), "0' ") &amp; TEXT(((((ABS(51.2166667)-INT(ABS(51.2166667)))*60)- INT((ABS(51.2166667) - INT(ABS(51.2166667)))*60))*60), " 0''")</f>
        <v>51°c c13  0</v>
      </c>
      <c r="J896" t="str">
        <f ca="1">TEXT(TRUNC(-0.5666667), "0" &amp; CHAR(176) &amp; " ") &amp; TEXT(INT((ABS(-0.5666667)- INT(ABS(-0.5666667)))*60), "0' ") &amp; TEXT(((((ABS(-0.5666667)-INT(ABS(-0.5666667)))*60)- INT((ABS(-0.5666667) - INT(ABS(-0.5666667)))*60))*60), " 0''")</f>
        <v>0°c c34  0</v>
      </c>
    </row>
    <row r="897" spans="1:10">
      <c r="A897" t="s">
        <v>58</v>
      </c>
      <c r="B897" s="2">
        <v>3600</v>
      </c>
      <c r="C897" t="s">
        <v>24</v>
      </c>
      <c r="D897" t="s">
        <v>844</v>
      </c>
      <c r="E897" t="s">
        <v>845</v>
      </c>
      <c r="F897" t="s">
        <v>45</v>
      </c>
      <c r="G897" t="s">
        <v>15</v>
      </c>
      <c r="H897" s="3">
        <v>39824.552777777775</v>
      </c>
      <c r="I897" t="str">
        <f ca="1">TEXT(TRUNC(26.12194), "0" &amp; CHAR(176) &amp; " ") &amp; TEXT(INT((ABS(26.12194)- INT(ABS(26.12194)))*60), "0' ") &amp; TEXT(((((ABS(26.12194)-INT(ABS(26.12194)))*60)- INT((ABS(26.12194) - INT(ABS(26.12194)))*60))*60), " 0''")</f>
        <v>26°c c7  19</v>
      </c>
      <c r="J897" t="str">
        <f ca="1">TEXT(TRUNC(-80.14361), "0" &amp; CHAR(176) &amp; " ") &amp; TEXT(INT((ABS(-80.14361)- INT(ABS(-80.14361)))*60), "0' ") &amp; TEXT(((((ABS(-80.14361)-INT(ABS(-80.14361)))*60)- INT((ABS(-80.14361) - INT(ABS(-80.14361)))*60))*60), " 0''")</f>
        <v>-80°c c8  37</v>
      </c>
    </row>
    <row r="898" spans="1:10">
      <c r="A898" t="s">
        <v>58</v>
      </c>
      <c r="B898" s="2">
        <v>3600</v>
      </c>
      <c r="C898" t="s">
        <v>24</v>
      </c>
      <c r="D898" t="s">
        <v>853</v>
      </c>
      <c r="E898" t="s">
        <v>854</v>
      </c>
      <c r="F898" t="s">
        <v>855</v>
      </c>
      <c r="G898" t="s">
        <v>15</v>
      </c>
      <c r="H898" s="3">
        <v>39824.744444444441</v>
      </c>
      <c r="I898" t="str">
        <f ca="1">TEXT(TRUNC(18.35917), "0" &amp; CHAR(176) &amp; " ") &amp; TEXT(INT((ABS(18.35917)- INT(ABS(18.35917)))*60), "0' ") &amp; TEXT(((((ABS(18.35917)-INT(ABS(18.35917)))*60)- INT((ABS(18.35917) - INT(ABS(18.35917)))*60))*60), " 0''")</f>
        <v>18°c c21  33</v>
      </c>
      <c r="J898" t="str">
        <f ca="1">TEXT(TRUNC(-64.92111), "0" &amp; CHAR(176) &amp; " ") &amp; TEXT(INT((ABS(-64.92111)- INT(ABS(-64.92111)))*60), "0' ") &amp; TEXT(((((ABS(-64.92111)-INT(ABS(-64.92111)))*60)- INT((ABS(-64.92111) - INT(ABS(-64.92111)))*60))*60), " 0''")</f>
        <v>-64°c c55  16</v>
      </c>
    </row>
    <row r="899" spans="1:10">
      <c r="A899" t="s">
        <v>58</v>
      </c>
      <c r="B899" s="2">
        <v>3600</v>
      </c>
      <c r="C899" t="s">
        <v>24</v>
      </c>
      <c r="D899" t="s">
        <v>858</v>
      </c>
      <c r="E899" t="s">
        <v>859</v>
      </c>
      <c r="F899" t="s">
        <v>267</v>
      </c>
      <c r="G899" t="s">
        <v>49</v>
      </c>
      <c r="H899" s="3">
        <v>39824.931944444441</v>
      </c>
      <c r="I899" t="str">
        <f ca="1">TEXT(TRUNC(-33.6666667), "0" &amp; CHAR(176) &amp; " ") &amp; TEXT(INT((ABS(-33.6666667)- INT(ABS(-33.6666667)))*60), "0' ") &amp; TEXT(((((ABS(-33.6666667)-INT(ABS(-33.6666667)))*60)- INT((ABS(-33.6666667) - INT(ABS(-33.6666667)))*60))*60), " 0''")</f>
        <v>-33°c c40  0</v>
      </c>
      <c r="J899" t="str">
        <f ca="1">TEXT(TRUNC(151.3), "0" &amp; CHAR(176) &amp; " ") &amp; TEXT(INT((ABS(151.3)- INT(ABS(151.3)))*60), "0' ") &amp; TEXT(((((ABS(151.3)-INT(ABS(151.3)))*60)- INT((ABS(151.3) - INT(ABS(151.3)))*60))*60), " 0''")</f>
        <v>151°c c18  0</v>
      </c>
    </row>
    <row r="900" spans="1:10">
      <c r="A900" t="s">
        <v>58</v>
      </c>
      <c r="B900" s="2">
        <v>3600</v>
      </c>
      <c r="C900" t="s">
        <v>11</v>
      </c>
      <c r="D900" t="s">
        <v>865</v>
      </c>
      <c r="E900" t="s">
        <v>866</v>
      </c>
      <c r="F900" t="s">
        <v>57</v>
      </c>
      <c r="G900" t="s">
        <v>15</v>
      </c>
      <c r="H900" s="3">
        <v>39825.127083333333</v>
      </c>
      <c r="I900" t="str">
        <f ca="1">TEXT(TRUNC(33.66944), "0" &amp; CHAR(176) &amp; " ") &amp; TEXT(INT((ABS(33.66944)- INT(ABS(33.66944)))*60), "0' ") &amp; TEXT(((((ABS(33.66944)-INT(ABS(33.66944)))*60)- INT((ABS(33.66944) - INT(ABS(33.66944)))*60))*60), " 0''")</f>
        <v>33°c c40  10</v>
      </c>
      <c r="J900" t="str">
        <f ca="1">TEXT(TRUNC(-117.82222), "0" &amp; CHAR(176) &amp; " ") &amp; TEXT(INT((ABS(-117.82222)- INT(ABS(-117.82222)))*60), "0' ") &amp; TEXT(((((ABS(-117.82222)-INT(ABS(-117.82222)))*60)- INT((ABS(-117.82222) - INT(ABS(-117.82222)))*60))*60), " 0''")</f>
        <v>-117°c c49  20</v>
      </c>
    </row>
    <row r="901" spans="1:10">
      <c r="A901" t="s">
        <v>58</v>
      </c>
      <c r="B901" s="2">
        <v>3600</v>
      </c>
      <c r="C901" t="s">
        <v>33</v>
      </c>
      <c r="D901" t="s">
        <v>34</v>
      </c>
      <c r="E901" t="s">
        <v>887</v>
      </c>
      <c r="F901" t="s">
        <v>888</v>
      </c>
      <c r="G901" t="s">
        <v>75</v>
      </c>
      <c r="H901" s="3">
        <v>39825.420138888891</v>
      </c>
      <c r="I901" t="str">
        <f ca="1">TEXT(TRUNC(46.2), "0" &amp; CHAR(176) &amp; " ") &amp; TEXT(INT((ABS(46.2)- INT(ABS(46.2)))*60), "0' ") &amp; TEXT(((((ABS(46.2)-INT(ABS(46.2)))*60)- INT((ABS(46.2) - INT(ABS(46.2)))*60))*60), " 0''")</f>
        <v>46°c c12  0</v>
      </c>
      <c r="J901" t="str">
        <f ca="1">TEXT(TRUNC(9.0166667), "0" &amp; CHAR(176) &amp; " ") &amp; TEXT(INT((ABS(9.0166667)- INT(ABS(9.0166667)))*60), "0' ") &amp; TEXT(((((ABS(9.0166667)-INT(ABS(9.0166667)))*60)- INT((ABS(9.0166667) - INT(ABS(9.0166667)))*60))*60), " 0''")</f>
        <v>9°c c1  0</v>
      </c>
    </row>
    <row r="902" spans="1:10">
      <c r="A902" t="s">
        <v>58</v>
      </c>
      <c r="B902" s="2">
        <v>3600</v>
      </c>
      <c r="C902" t="s">
        <v>11</v>
      </c>
      <c r="D902" t="s">
        <v>889</v>
      </c>
      <c r="E902" t="s">
        <v>454</v>
      </c>
      <c r="F902" t="s">
        <v>455</v>
      </c>
      <c r="G902" t="s">
        <v>15</v>
      </c>
      <c r="H902" s="3">
        <v>39825.422222222223</v>
      </c>
      <c r="I902" t="str">
        <f ca="1">TEXT(TRUNC(38.895), "0" &amp; CHAR(176) &amp; " ") &amp; TEXT(INT((ABS(38.895)- INT(ABS(38.895)))*60), "0' ") &amp; TEXT(((((ABS(38.895)-INT(ABS(38.895)))*60)- INT((ABS(38.895) - INT(ABS(38.895)))*60))*60), " 0''")</f>
        <v>38°c c53  42</v>
      </c>
      <c r="J902" t="str">
        <f ca="1">TEXT(TRUNC(-77.03667), "0" &amp; CHAR(176) &amp; " ") &amp; TEXT(INT((ABS(-77.03667)- INT(ABS(-77.03667)))*60), "0' ") &amp; TEXT(((((ABS(-77.03667)-INT(ABS(-77.03667)))*60)- INT((ABS(-77.03667) - INT(ABS(-77.03667)))*60))*60), " 0''")</f>
        <v>-77°c c2  12</v>
      </c>
    </row>
    <row r="903" spans="1:10">
      <c r="A903" t="s">
        <v>58</v>
      </c>
      <c r="B903" s="2">
        <v>3600</v>
      </c>
      <c r="C903" t="s">
        <v>24</v>
      </c>
      <c r="D903" t="s">
        <v>891</v>
      </c>
      <c r="E903" t="s">
        <v>94</v>
      </c>
      <c r="F903" t="s">
        <v>95</v>
      </c>
      <c r="G903" t="s">
        <v>81</v>
      </c>
      <c r="H903" s="3">
        <v>39825.486111111109</v>
      </c>
      <c r="I903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03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04" spans="1:10">
      <c r="A904" t="s">
        <v>58</v>
      </c>
      <c r="B904" s="2">
        <v>3600</v>
      </c>
      <c r="C904" t="s">
        <v>33</v>
      </c>
      <c r="D904" t="s">
        <v>901</v>
      </c>
      <c r="E904" t="s">
        <v>902</v>
      </c>
      <c r="F904" t="s">
        <v>41</v>
      </c>
      <c r="G904" t="s">
        <v>42</v>
      </c>
      <c r="H904" s="3">
        <v>39825.557638888888</v>
      </c>
      <c r="I904" t="str">
        <f ca="1">TEXT(TRUNC(45.3666667), "0" &amp; CHAR(176) &amp; " ") &amp; TEXT(INT((ABS(45.3666667)- INT(ABS(45.3666667)))*60), "0' ") &amp; TEXT(((((ABS(45.3666667)-INT(ABS(45.3666667)))*60)- INT((ABS(45.3666667) - INT(ABS(45.3666667)))*60))*60), " 0''")</f>
        <v>45°c c22  0</v>
      </c>
      <c r="J904" t="str">
        <f ca="1">TEXT(TRUNC(11.6166667), "0" &amp; CHAR(176) &amp; " ") &amp; TEXT(INT((ABS(11.6166667)- INT(ABS(11.6166667)))*60), "0' ") &amp; TEXT(((((ABS(11.6166667)-INT(ABS(11.6166667)))*60)- INT((ABS(11.6166667) - INT(ABS(11.6166667)))*60))*60), " 0''")</f>
        <v>11°c c37  0</v>
      </c>
    </row>
    <row r="905" spans="1:10">
      <c r="A905" t="s">
        <v>58</v>
      </c>
      <c r="B905" s="2">
        <v>3600</v>
      </c>
      <c r="C905" t="s">
        <v>50</v>
      </c>
      <c r="D905" t="s">
        <v>916</v>
      </c>
      <c r="E905" t="s">
        <v>885</v>
      </c>
      <c r="F905" t="s">
        <v>45</v>
      </c>
      <c r="G905" t="s">
        <v>15</v>
      </c>
      <c r="H905" s="3">
        <v>39825.72152777778</v>
      </c>
      <c r="I905" t="str">
        <f ca="1">TEXT(TRUNC(28.02194), "0" &amp; CHAR(176) &amp; " ") &amp; TEXT(INT((ABS(28.02194)- INT(ABS(28.02194)))*60), "0' ") &amp; TEXT(((((ABS(28.02194)-INT(ABS(28.02194)))*60)- INT((ABS(28.02194) - INT(ABS(28.02194)))*60))*60), " 0''")</f>
        <v>28°c c1  19</v>
      </c>
      <c r="J905" t="str">
        <f ca="1">TEXT(TRUNC(-81.73306), "0" &amp; CHAR(176) &amp; " ") &amp; TEXT(INT((ABS(-81.73306)- INT(ABS(-81.73306)))*60), "0' ") &amp; TEXT(((((ABS(-81.73306)-INT(ABS(-81.73306)))*60)- INT((ABS(-81.73306) - INT(ABS(-81.73306)))*60))*60), " 0''")</f>
        <v>-81°c c43  59</v>
      </c>
    </row>
    <row r="906" spans="1:10">
      <c r="A906" t="s">
        <v>58</v>
      </c>
      <c r="B906" s="2">
        <v>3600</v>
      </c>
      <c r="C906" t="s">
        <v>33</v>
      </c>
      <c r="D906" t="s">
        <v>729</v>
      </c>
      <c r="E906" t="s">
        <v>149</v>
      </c>
      <c r="F906" t="s">
        <v>98</v>
      </c>
      <c r="G906" t="s">
        <v>15</v>
      </c>
      <c r="H906" s="3">
        <v>39826.29791666667</v>
      </c>
      <c r="I906" t="str">
        <f ca="1">TEXT(TRUNC(41.85), "0" &amp; CHAR(176) &amp; " ") &amp; TEXT(INT((ABS(41.85)- INT(ABS(41.85)))*60), "0' ") &amp; TEXT(((((ABS(41.85)-INT(ABS(41.85)))*60)- INT((ABS(41.85) - INT(ABS(41.85)))*60))*60), " 0''")</f>
        <v>41°c c51  0</v>
      </c>
      <c r="J906" t="str">
        <f ca="1">TEXT(TRUNC(-87.65), "0" &amp; CHAR(176) &amp; " ") &amp; TEXT(INT((ABS(-87.65)- INT(ABS(-87.65)))*60), "0' ") &amp; TEXT(((((ABS(-87.65)-INT(ABS(-87.65)))*60)- INT((ABS(-87.65) - INT(ABS(-87.65)))*60))*60), " 0''")</f>
        <v>-87°c c39  0</v>
      </c>
    </row>
    <row r="907" spans="1:10">
      <c r="A907" t="s">
        <v>58</v>
      </c>
      <c r="B907" s="2">
        <v>3600</v>
      </c>
      <c r="C907" t="s">
        <v>24</v>
      </c>
      <c r="D907" t="s">
        <v>949</v>
      </c>
      <c r="E907" t="s">
        <v>950</v>
      </c>
      <c r="F907" t="s">
        <v>27</v>
      </c>
      <c r="G907" t="s">
        <v>15</v>
      </c>
      <c r="H907" s="3">
        <v>39826.34097222222</v>
      </c>
      <c r="I907" t="str">
        <f ca="1">TEXT(TRUNC(29.78556), "0" &amp; CHAR(176) &amp; " ") &amp; TEXT(INT((ABS(29.78556)- INT(ABS(29.78556)))*60), "0' ") &amp; TEXT(((((ABS(29.78556)-INT(ABS(29.78556)))*60)- INT((ABS(29.78556) - INT(ABS(29.78556)))*60))*60), " 0''")</f>
        <v>29°c c47  8</v>
      </c>
      <c r="J907" t="str">
        <f ca="1">TEXT(TRUNC(-95.82417), "0" &amp; CHAR(176) &amp; " ") &amp; TEXT(INT((ABS(-95.82417)- INT(ABS(-95.82417)))*60), "0' ") &amp; TEXT(((((ABS(-95.82417)-INT(ABS(-95.82417)))*60)- INT((ABS(-95.82417) - INT(ABS(-95.82417)))*60))*60), " 0''")</f>
        <v>-95°c c49  27</v>
      </c>
    </row>
    <row r="908" spans="1:10">
      <c r="A908" t="s">
        <v>58</v>
      </c>
      <c r="B908" s="2">
        <v>3600</v>
      </c>
      <c r="C908" t="s">
        <v>11</v>
      </c>
      <c r="D908" t="s">
        <v>918</v>
      </c>
      <c r="E908" t="s">
        <v>94</v>
      </c>
      <c r="F908" t="s">
        <v>95</v>
      </c>
      <c r="G908" t="s">
        <v>81</v>
      </c>
      <c r="H908" s="3">
        <v>39826.554861111108</v>
      </c>
      <c r="I908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08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09" spans="1:10">
      <c r="A909" t="s">
        <v>58</v>
      </c>
      <c r="B909" s="2">
        <v>3600</v>
      </c>
      <c r="C909" t="s">
        <v>24</v>
      </c>
      <c r="D909" t="s">
        <v>975</v>
      </c>
      <c r="E909" t="s">
        <v>394</v>
      </c>
      <c r="F909" t="s">
        <v>394</v>
      </c>
      <c r="G909" t="s">
        <v>75</v>
      </c>
      <c r="H909" s="3">
        <v>39826.613888888889</v>
      </c>
      <c r="I909" t="str">
        <f ca="1">TEXT(TRUNC(47.3666667), "0" &amp; CHAR(176) &amp; " ") &amp; TEXT(INT((ABS(47.3666667)- INT(ABS(47.3666667)))*60), "0' ") &amp; TEXT(((((ABS(47.3666667)-INT(ABS(47.3666667)))*60)- INT((ABS(47.3666667) - INT(ABS(47.3666667)))*60))*60), " 0''")</f>
        <v>47°c c22  0</v>
      </c>
      <c r="J909" t="str">
        <f ca="1">TEXT(TRUNC(8.55), "0" &amp; CHAR(176) &amp; " ") &amp; TEXT(INT((ABS(8.55)- INT(ABS(8.55)))*60), "0' ") &amp; TEXT(((((ABS(8.55)-INT(ABS(8.55)))*60)- INT((ABS(8.55) - INT(ABS(8.55)))*60))*60), " 0''")</f>
        <v>8°c c33  0</v>
      </c>
    </row>
    <row r="910" spans="1:10">
      <c r="A910" t="s">
        <v>58</v>
      </c>
      <c r="B910" s="2">
        <v>3600</v>
      </c>
      <c r="C910" t="s">
        <v>24</v>
      </c>
      <c r="D910" t="s">
        <v>980</v>
      </c>
      <c r="E910" t="s">
        <v>372</v>
      </c>
      <c r="F910" t="s">
        <v>323</v>
      </c>
      <c r="G910" t="s">
        <v>174</v>
      </c>
      <c r="H910" s="3">
        <v>39826.638194444444</v>
      </c>
      <c r="I910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910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911" spans="1:10">
      <c r="A911" t="s">
        <v>58</v>
      </c>
      <c r="B911" s="2">
        <v>3600</v>
      </c>
      <c r="C911" t="s">
        <v>11</v>
      </c>
      <c r="D911" t="s">
        <v>988</v>
      </c>
      <c r="E911" t="s">
        <v>989</v>
      </c>
      <c r="F911" t="s">
        <v>187</v>
      </c>
      <c r="G911" t="s">
        <v>49</v>
      </c>
      <c r="H911" s="3">
        <v>39827.002083333333</v>
      </c>
      <c r="I911" t="str">
        <f ca="1">TEXT(TRUNC(-33.3333333), "0" &amp; CHAR(176) &amp; " ") &amp; TEXT(INT((ABS(-33.3333333)- INT(ABS(-33.3333333)))*60), "0' ") &amp; TEXT(((((ABS(-33.3333333)-INT(ABS(-33.3333333)))*60)- INT((ABS(-33.3333333) - INT(ABS(-33.3333333)))*60))*60), " 0''")</f>
        <v>-33°c c19  60</v>
      </c>
      <c r="J911" t="str">
        <f ca="1">TEXT(TRUNC(115.6333333), "0" &amp; CHAR(176) &amp; " ") &amp; TEXT(INT((ABS(115.6333333)- INT(ABS(115.6333333)))*60), "0' ") &amp; TEXT(((((ABS(115.6333333)-INT(ABS(115.6333333)))*60)- INT((ABS(115.6333333) - INT(ABS(115.6333333)))*60))*60), " 0''")</f>
        <v>115°c c37  60</v>
      </c>
    </row>
    <row r="912" spans="1:10">
      <c r="A912" t="s">
        <v>58</v>
      </c>
      <c r="B912" s="2">
        <v>3600</v>
      </c>
      <c r="C912" t="s">
        <v>24</v>
      </c>
      <c r="D912" t="s">
        <v>990</v>
      </c>
      <c r="E912" t="s">
        <v>372</v>
      </c>
      <c r="F912" t="s">
        <v>323</v>
      </c>
      <c r="G912" t="s">
        <v>174</v>
      </c>
      <c r="H912" s="3">
        <v>39827.010416666664</v>
      </c>
      <c r="I912" t="str">
        <f ca="1">TEXT(TRUNC(48.8666667), "0" &amp; CHAR(176) &amp; " ") &amp; TEXT(INT((ABS(48.8666667)- INT(ABS(48.8666667)))*60), "0' ") &amp; TEXT(((((ABS(48.8666667)-INT(ABS(48.8666667)))*60)- INT((ABS(48.8666667) - INT(ABS(48.8666667)))*60))*60), " 0''")</f>
        <v>48°c c52  0</v>
      </c>
      <c r="J912" t="str">
        <f ca="1">TEXT(TRUNC(2.3333333), "0" &amp; CHAR(176) &amp; " ") &amp; TEXT(INT((ABS(2.3333333)- INT(ABS(2.3333333)))*60), "0' ") &amp; TEXT(((((ABS(2.3333333)-INT(ABS(2.3333333)))*60)- INT((ABS(2.3333333) - INT(ABS(2.3333333)))*60))*60), " 0''")</f>
        <v>2°c c19  60</v>
      </c>
    </row>
    <row r="913" spans="1:10">
      <c r="A913" t="s">
        <v>58</v>
      </c>
      <c r="B913" s="2">
        <v>3600</v>
      </c>
      <c r="C913" t="s">
        <v>24</v>
      </c>
      <c r="D913" t="s">
        <v>997</v>
      </c>
      <c r="E913" t="s">
        <v>998</v>
      </c>
      <c r="F913" t="s">
        <v>934</v>
      </c>
      <c r="G913" t="s">
        <v>75</v>
      </c>
      <c r="H913" s="3">
        <v>39827.222222222219</v>
      </c>
      <c r="I913" t="str">
        <f ca="1">TEXT(TRUNC(47.5333333), "0" &amp; CHAR(176) &amp; " ") &amp; TEXT(INT((ABS(47.5333333)- INT(ABS(47.5333333)))*60), "0' ") &amp; TEXT(((((ABS(47.5333333)-INT(ABS(47.5333333)))*60)- INT((ABS(47.5333333) - INT(ABS(47.5333333)))*60))*60), " 0''")</f>
        <v>47°c c31  60</v>
      </c>
      <c r="J913" t="str">
        <f ca="1">TEXT(TRUNC(7.5666667), "0" &amp; CHAR(176) &amp; " ") &amp; TEXT(INT((ABS(7.5666667)- INT(ABS(7.5666667)))*60), "0' ") &amp; TEXT(((((ABS(7.5666667)-INT(ABS(7.5666667)))*60)- INT((ABS(7.5666667) - INT(ABS(7.5666667)))*60))*60), " 0''")</f>
        <v>7°c c34  0</v>
      </c>
    </row>
    <row r="914" spans="1:10">
      <c r="A914" t="s">
        <v>58</v>
      </c>
      <c r="B914" s="2">
        <v>3600</v>
      </c>
      <c r="C914" t="s">
        <v>33</v>
      </c>
      <c r="D914" t="s">
        <v>1004</v>
      </c>
      <c r="E914" t="s">
        <v>1005</v>
      </c>
      <c r="F914" t="s">
        <v>290</v>
      </c>
      <c r="G914" t="s">
        <v>81</v>
      </c>
      <c r="H914" s="3">
        <v>39827.344444444447</v>
      </c>
      <c r="I914" t="str">
        <f ca="1">TEXT(TRUNC(52.1333333), "0" &amp; CHAR(176) &amp; " ") &amp; TEXT(INT((ABS(52.1333333)- INT(ABS(52.1333333)))*60), "0' ") &amp; TEXT(((((ABS(52.1333333)-INT(ABS(52.1333333)))*60)- INT((ABS(52.1333333) - INT(ABS(52.1333333)))*60))*60), " 0''")</f>
        <v>52°c c7  60</v>
      </c>
      <c r="J914" t="str">
        <f ca="1">TEXT(TRUNC(-106.6666667), "0" &amp; CHAR(176) &amp; " ") &amp; TEXT(INT((ABS(-106.6666667)- INT(ABS(-106.6666667)))*60), "0' ") &amp; TEXT(((((ABS(-106.6666667)-INT(ABS(-106.6666667)))*60)- INT((ABS(-106.6666667) - INT(ABS(-106.6666667)))*60))*60), " 0''")</f>
        <v>-106°c c40  0</v>
      </c>
    </row>
    <row r="915" spans="1:10">
      <c r="A915" t="s">
        <v>58</v>
      </c>
      <c r="B915" s="2">
        <v>3600</v>
      </c>
      <c r="C915" t="s">
        <v>24</v>
      </c>
      <c r="D915" t="s">
        <v>1039</v>
      </c>
      <c r="E915" t="s">
        <v>118</v>
      </c>
      <c r="F915" t="s">
        <v>53</v>
      </c>
      <c r="G915" t="s">
        <v>54</v>
      </c>
      <c r="H915" s="3">
        <v>39828.21597222222</v>
      </c>
      <c r="I915" t="str">
        <f ca="1">TEXT(TRUNC(51.52721), "0" &amp; CHAR(176) &amp; " ") &amp; TEXT(INT((ABS(51.52721)- INT(ABS(51.52721)))*60), "0' ") &amp; TEXT(((((ABS(51.52721)-INT(ABS(51.52721)))*60)- INT((ABS(51.52721) - INT(ABS(51.52721)))*60))*60), " 0''")</f>
        <v>51°c c31  38</v>
      </c>
      <c r="J915" t="str">
        <f ca="1">TEXT(TRUNC(0.14559), "0" &amp; CHAR(176) &amp; " ") &amp; TEXT(INT((ABS(0.14559)- INT(ABS(0.14559)))*60), "0' ") &amp; TEXT(((((ABS(0.14559)-INT(ABS(0.14559)))*60)- INT((ABS(0.14559) - INT(ABS(0.14559)))*60))*60), " 0''")</f>
        <v>0°c c8  44</v>
      </c>
    </row>
    <row r="916" spans="1:10">
      <c r="A916" t="s">
        <v>58</v>
      </c>
      <c r="B916" s="2">
        <v>3600</v>
      </c>
      <c r="C916" t="s">
        <v>24</v>
      </c>
      <c r="D916" t="s">
        <v>1040</v>
      </c>
      <c r="E916" t="s">
        <v>1041</v>
      </c>
      <c r="F916" t="s">
        <v>95</v>
      </c>
      <c r="G916" t="s">
        <v>81</v>
      </c>
      <c r="H916" s="3">
        <v>39828.227083333331</v>
      </c>
      <c r="I916" t="str">
        <f ca="1">TEXT(TRUNC(46.3), "0" &amp; CHAR(176) &amp; " ") &amp; TEXT(INT((ABS(46.3)- INT(ABS(46.3)))*60), "0' ") &amp; TEXT(((((ABS(46.3)-INT(ABS(46.3)))*60)- INT((ABS(46.3) - INT(ABS(46.3)))*60))*60), " 0''")</f>
        <v>46°c c17  60</v>
      </c>
      <c r="J916" t="str">
        <f ca="1">TEXT(TRUNC(-79.45), "0" &amp; CHAR(176) &amp; " ") &amp; TEXT(INT((ABS(-79.45)- INT(ABS(-79.45)))*60), "0' ") &amp; TEXT(((((ABS(-79.45)-INT(ABS(-79.45)))*60)- INT((ABS(-79.45) - INT(ABS(-79.45)))*60))*60), " 0''")</f>
        <v>-79°c c27  0</v>
      </c>
    </row>
    <row r="917" spans="1:10">
      <c r="A917" t="s">
        <v>58</v>
      </c>
      <c r="B917" s="2">
        <v>3600</v>
      </c>
      <c r="C917" t="s">
        <v>24</v>
      </c>
      <c r="D917" t="s">
        <v>1072</v>
      </c>
      <c r="E917" t="s">
        <v>1073</v>
      </c>
      <c r="F917" t="s">
        <v>1074</v>
      </c>
      <c r="G917" t="s">
        <v>15</v>
      </c>
      <c r="H917" s="3">
        <v>39828.663888888892</v>
      </c>
      <c r="I917" t="str">
        <f ca="1">TEXT(TRUNC(39.69861), "0" &amp; CHAR(176) &amp; " ") &amp; TEXT(INT((ABS(39.69861)- INT(ABS(39.69861)))*60), "0' ") &amp; TEXT(((((ABS(39.69861)-INT(ABS(39.69861)))*60)- INT((ABS(39.69861) - INT(ABS(39.69861)))*60))*60), " 0''")</f>
        <v>39°c c41  55</v>
      </c>
      <c r="J917" t="str">
        <f ca="1">TEXT(TRUNC(-86.46361), "0" &amp; CHAR(176) &amp; " ") &amp; TEXT(INT((ABS(-86.46361)- INT(ABS(-86.46361)))*60), "0' ") &amp; TEXT(((((ABS(-86.46361)-INT(ABS(-86.46361)))*60)- INT((ABS(-86.46361) - INT(ABS(-86.46361)))*60))*60), " 0''")</f>
        <v>-86°c c27  49</v>
      </c>
    </row>
    <row r="918" spans="1:10">
      <c r="A918" t="s">
        <v>58</v>
      </c>
      <c r="B918" s="2">
        <v>3600</v>
      </c>
      <c r="C918" t="s">
        <v>33</v>
      </c>
      <c r="D918" t="s">
        <v>1075</v>
      </c>
      <c r="E918" t="s">
        <v>1076</v>
      </c>
      <c r="F918" t="s">
        <v>193</v>
      </c>
      <c r="G918" t="s">
        <v>15</v>
      </c>
      <c r="H918" s="3">
        <v>39828.755555555559</v>
      </c>
      <c r="I918" t="str">
        <f ca="1">TEXT(TRUNC(40.03722), "0" &amp; CHAR(176) &amp; " ") &amp; TEXT(INT((ABS(40.03722)- INT(ABS(40.03722)))*60), "0' ") &amp; TEXT(((((ABS(40.03722)-INT(ABS(40.03722)))*60)- INT((ABS(40.03722) - INT(ABS(40.03722)))*60))*60), " 0''")</f>
        <v>40°c c2  14</v>
      </c>
      <c r="J918" t="str">
        <f ca="1">TEXT(TRUNC(-75.34944), "0" &amp; CHAR(176) &amp; " ") &amp; TEXT(INT((ABS(-75.34944)- INT(ABS(-75.34944)))*60), "0' ") &amp; TEXT(((((ABS(-75.34944)-INT(ABS(-75.34944)))*60)- INT((ABS(-75.34944) - INT(ABS(-75.34944)))*60))*60), " 0''")</f>
        <v>-75°c c20  58</v>
      </c>
    </row>
    <row r="919" spans="1:10">
      <c r="A919" t="s">
        <v>58</v>
      </c>
      <c r="B919" s="2">
        <v>3600</v>
      </c>
      <c r="C919" t="s">
        <v>50</v>
      </c>
      <c r="D919" t="s">
        <v>547</v>
      </c>
      <c r="E919" t="s">
        <v>1079</v>
      </c>
      <c r="F919" t="s">
        <v>45</v>
      </c>
      <c r="G919" t="s">
        <v>15</v>
      </c>
      <c r="H919" s="3">
        <v>39828.798611111109</v>
      </c>
      <c r="I919" t="str">
        <f ca="1">TEXT(TRUNC(30.42111), "0" &amp; CHAR(176) &amp; " ") &amp; TEXT(INT((ABS(30.42111)- INT(ABS(30.42111)))*60), "0' ") &amp; TEXT(((((ABS(30.42111)-INT(ABS(30.42111)))*60)- INT((ABS(30.42111) - INT(ABS(30.42111)))*60))*60), " 0''")</f>
        <v>30°c c25  16</v>
      </c>
      <c r="J919" t="str">
        <f ca="1">TEXT(TRUNC(-87.21694), "0" &amp; CHAR(176) &amp; " ") &amp; TEXT(INT((ABS(-87.21694)- INT(ABS(-87.21694)))*60), "0' ") &amp; TEXT(((((ABS(-87.21694)-INT(ABS(-87.21694)))*60)- INT((ABS(-87.21694) - INT(ABS(-87.21694)))*60))*60), " 0''")</f>
        <v>-87°c c13  1</v>
      </c>
    </row>
    <row r="920" spans="1:10">
      <c r="A920" t="s">
        <v>58</v>
      </c>
      <c r="B920" s="2">
        <v>3600</v>
      </c>
      <c r="C920" t="s">
        <v>50</v>
      </c>
      <c r="D920" t="s">
        <v>1080</v>
      </c>
      <c r="E920" t="s">
        <v>64</v>
      </c>
      <c r="F920" t="s">
        <v>64</v>
      </c>
      <c r="G920" t="s">
        <v>65</v>
      </c>
      <c r="H920" s="3">
        <v>39829.046527777777</v>
      </c>
      <c r="I920" t="str">
        <f ca="1">TEXT(TRUNC(51.8986111), "0" &amp; CHAR(176) &amp; " ") &amp; TEXT(INT((ABS(51.8986111)- INT(ABS(51.8986111)))*60), "0' ") &amp; TEXT(((((ABS(51.8986111)-INT(ABS(51.8986111)))*60)- INT((ABS(51.8986111) - INT(ABS(51.8986111)))*60))*60), " 0''")</f>
        <v>51°c c53  55</v>
      </c>
      <c r="J920" t="str">
        <f ca="1">TEXT(TRUNC(-8.4958333), "0" &amp; CHAR(176) &amp; " ") &amp; TEXT(INT((ABS(-8.4958333)- INT(ABS(-8.4958333)))*60), "0' ") &amp; TEXT(((((ABS(-8.4958333)-INT(ABS(-8.4958333)))*60)- INT((ABS(-8.4958333) - INT(ABS(-8.4958333)))*60))*60), " 0''")</f>
        <v>-8°c c29  45</v>
      </c>
    </row>
    <row r="921" spans="1:10">
      <c r="A921" t="s">
        <v>58</v>
      </c>
      <c r="B921" s="2">
        <v>3600</v>
      </c>
      <c r="C921" t="s">
        <v>24</v>
      </c>
      <c r="D921" t="s">
        <v>618</v>
      </c>
      <c r="E921" t="s">
        <v>1085</v>
      </c>
      <c r="F921" t="s">
        <v>1086</v>
      </c>
      <c r="G921" t="s">
        <v>75</v>
      </c>
      <c r="H921" s="3">
        <v>39829.216666666667</v>
      </c>
      <c r="I921" t="str">
        <f ca="1">TEXT(TRUNC(47.35), "0" &amp; CHAR(176) &amp; " ") &amp; TEXT(INT((ABS(47.35)- INT(ABS(47.35)))*60), "0' ") &amp; TEXT(((((ABS(47.35)-INT(ABS(47.35)))*60)- INT((ABS(47.35) - INT(ABS(47.35)))*60))*60), " 0''")</f>
        <v>47°c c21  0</v>
      </c>
      <c r="J921" t="str">
        <f ca="1">TEXT(TRUNC(8.3833333), "0" &amp; CHAR(176) &amp; " ") &amp; TEXT(INT((ABS(8.3833333)- INT(ABS(8.3833333)))*60), "0' ") &amp; TEXT(((((ABS(8.3833333)-INT(ABS(8.3833333)))*60)- INT((ABS(8.3833333) - INT(ABS(8.3833333)))*60))*60), " 0''")</f>
        <v>8°c c22  60</v>
      </c>
    </row>
    <row r="922" spans="1:10">
      <c r="A922" t="s">
        <v>58</v>
      </c>
      <c r="B922" s="2">
        <v>3600</v>
      </c>
      <c r="C922" t="s">
        <v>11</v>
      </c>
      <c r="D922" t="s">
        <v>1090</v>
      </c>
      <c r="E922" t="s">
        <v>1091</v>
      </c>
      <c r="F922" t="s">
        <v>383</v>
      </c>
      <c r="G922" t="s">
        <v>174</v>
      </c>
      <c r="H922" s="3">
        <v>39829.305555555555</v>
      </c>
      <c r="I922" t="str">
        <f ca="1">TEXT(TRUNC(46.2333333), "0" &amp; CHAR(176) &amp; " ") &amp; TEXT(INT((ABS(46.2333333)- INT(ABS(46.2333333)))*60), "0' ") &amp; TEXT(((((ABS(46.2333333)-INT(ABS(46.2333333)))*60)- INT((ABS(46.2333333) - INT(ABS(46.2333333)))*60))*60), " 0''")</f>
        <v>46°c c13  60</v>
      </c>
      <c r="J922" t="str">
        <f ca="1">TEXT(TRUNC(6.3166667), "0" &amp; CHAR(176) &amp; " ") &amp; TEXT(INT((ABS(6.3166667)- INT(ABS(6.3166667)))*60), "0' ") &amp; TEXT(((((ABS(6.3166667)-INT(ABS(6.3166667)))*60)- INT((ABS(6.3166667) - INT(ABS(6.3166667)))*60))*60), " 0''")</f>
        <v>6°c c19  0</v>
      </c>
    </row>
    <row r="923" spans="1:10">
      <c r="A923" t="s">
        <v>58</v>
      </c>
      <c r="B923" s="2">
        <v>3600</v>
      </c>
      <c r="C923" t="s">
        <v>24</v>
      </c>
      <c r="D923" t="s">
        <v>1147</v>
      </c>
      <c r="E923" t="s">
        <v>1148</v>
      </c>
      <c r="F923" t="s">
        <v>57</v>
      </c>
      <c r="G923" t="s">
        <v>15</v>
      </c>
      <c r="H923" s="3">
        <v>39830.658333333333</v>
      </c>
      <c r="I923" t="str">
        <f ca="1">TEXT(TRUNC(38.545), "0" &amp; CHAR(176) &amp; " ") &amp; TEXT(INT((ABS(38.545)- INT(ABS(38.545)))*60), "0' ") &amp; TEXT(((((ABS(38.545)-INT(ABS(38.545)))*60)- INT((ABS(38.545) - INT(ABS(38.545)))*60))*60), " 0''")</f>
        <v>38°c c32  42</v>
      </c>
      <c r="J923" t="str">
        <f ca="1">TEXT(TRUNC(-121.73944), "0" &amp; CHAR(176) &amp; " ") &amp; TEXT(INT((ABS(-121.73944)- INT(ABS(-121.73944)))*60), "0' ") &amp; TEXT(((((ABS(-121.73944)-INT(ABS(-121.73944)))*60)- INT((ABS(-121.73944) - INT(ABS(-121.73944)))*60))*60), " 0''")</f>
        <v>-121°c c44  22</v>
      </c>
    </row>
    <row r="924" spans="1:10">
      <c r="A924" t="s">
        <v>58</v>
      </c>
      <c r="B924" s="2">
        <v>3600</v>
      </c>
      <c r="C924" t="s">
        <v>24</v>
      </c>
      <c r="D924" t="s">
        <v>994</v>
      </c>
      <c r="E924" t="s">
        <v>1152</v>
      </c>
      <c r="F924" t="s">
        <v>762</v>
      </c>
      <c r="G924" t="s">
        <v>763</v>
      </c>
      <c r="H924" s="3">
        <v>39830.865277777775</v>
      </c>
      <c r="I924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924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925" spans="1:10">
      <c r="A925" t="s">
        <v>58</v>
      </c>
      <c r="B925" s="2">
        <v>3600</v>
      </c>
      <c r="C925" t="s">
        <v>24</v>
      </c>
      <c r="D925" t="s">
        <v>1154</v>
      </c>
      <c r="E925" t="s">
        <v>1155</v>
      </c>
      <c r="F925" t="s">
        <v>61</v>
      </c>
      <c r="G925" t="s">
        <v>23</v>
      </c>
      <c r="H925" s="3">
        <v>39831.02847222222</v>
      </c>
      <c r="I925" t="str">
        <f ca="1">TEXT(TRUNC(48.7), "0" &amp; CHAR(176) &amp; " ") &amp; TEXT(INT((ABS(48.7)- INT(ABS(48.7)))*60), "0' ") &amp; TEXT(((((ABS(48.7)-INT(ABS(48.7)))*60)- INT((ABS(48.7) - INT(ABS(48.7)))*60))*60), " 0''")</f>
        <v>48°c c42  0</v>
      </c>
      <c r="J925" t="str">
        <f ca="1">TEXT(TRUNC(10.8), "0" &amp; CHAR(176) &amp; " ") &amp; TEXT(INT((ABS(10.8)- INT(ABS(10.8)))*60), "0' ") &amp; TEXT(((((ABS(10.8)-INT(ABS(10.8)))*60)- INT((ABS(10.8) - INT(ABS(10.8)))*60))*60), " 0''")</f>
        <v>10°c c48  0</v>
      </c>
    </row>
    <row r="926" spans="1:10">
      <c r="A926" t="s">
        <v>58</v>
      </c>
      <c r="B926" s="2">
        <v>3600</v>
      </c>
      <c r="C926" t="s">
        <v>33</v>
      </c>
      <c r="D926" t="s">
        <v>1179</v>
      </c>
      <c r="E926" t="s">
        <v>1180</v>
      </c>
      <c r="F926" t="s">
        <v>974</v>
      </c>
      <c r="G926" t="s">
        <v>159</v>
      </c>
      <c r="H926" s="3">
        <v>39831.460416666669</v>
      </c>
      <c r="I926" t="str">
        <f ca="1">TEXT(TRUNC(41.3), "0" &amp; CHAR(176) &amp; " ") &amp; TEXT(INT((ABS(41.3)- INT(ABS(41.3)))*60), "0' ") &amp; TEXT(((((ABS(41.3)-INT(ABS(41.3)))*60)- INT((ABS(41.3) - INT(ABS(41.3)))*60))*60), " 0''")</f>
        <v>41°c c17  60</v>
      </c>
      <c r="J926" t="str">
        <f ca="1">TEXT(TRUNC(2.0166667), "0" &amp; CHAR(176) &amp; " ") &amp; TEXT(INT((ABS(2.0166667)- INT(ABS(2.0166667)))*60), "0' ") &amp; TEXT(((((ABS(2.0166667)-INT(ABS(2.0166667)))*60)- INT((ABS(2.0166667) - INT(ABS(2.0166667)))*60))*60), " 0''")</f>
        <v>2°c c1  0</v>
      </c>
    </row>
    <row r="927" spans="1:10">
      <c r="A927" t="s">
        <v>58</v>
      </c>
      <c r="B927" s="2">
        <v>3600</v>
      </c>
      <c r="C927" t="s">
        <v>24</v>
      </c>
      <c r="D927" t="s">
        <v>772</v>
      </c>
      <c r="E927" t="s">
        <v>1182</v>
      </c>
      <c r="F927" t="s">
        <v>53</v>
      </c>
      <c r="G927" t="s">
        <v>54</v>
      </c>
      <c r="H927" s="3">
        <v>39831.481944444444</v>
      </c>
      <c r="I927" t="str">
        <f ca="1">TEXT(TRUNC(51.4166667), "0" &amp; CHAR(176) &amp; " ") &amp; TEXT(INT((ABS(51.4166667)- INT(ABS(51.4166667)))*60), "0' ") &amp; TEXT(((((ABS(51.4166667)-INT(ABS(51.4166667)))*60)- INT((ABS(51.4166667) - INT(ABS(51.4166667)))*60))*60), " 0''")</f>
        <v>51°c c25  0</v>
      </c>
      <c r="J927" t="str">
        <f ca="1">TEXT(TRUNC(-0.25), "0" &amp; CHAR(176) &amp; " ") &amp; TEXT(INT((ABS(-0.25)- INT(ABS(-0.25)))*60), "0' ") &amp; TEXT(((((ABS(-0.25)-INT(ABS(-0.25)))*60)- INT((ABS(-0.25) - INT(ABS(-0.25)))*60))*60), " 0''")</f>
        <v>0°c c15  0</v>
      </c>
    </row>
    <row r="928" spans="1:10">
      <c r="A928" t="s">
        <v>58</v>
      </c>
      <c r="B928" s="2">
        <v>3600</v>
      </c>
      <c r="C928" t="s">
        <v>24</v>
      </c>
      <c r="D928" t="s">
        <v>1188</v>
      </c>
      <c r="E928" t="s">
        <v>1189</v>
      </c>
      <c r="F928" t="s">
        <v>68</v>
      </c>
      <c r="G928" t="s">
        <v>15</v>
      </c>
      <c r="H928" s="3">
        <v>39831.503472222219</v>
      </c>
      <c r="I928" t="str">
        <f ca="1">TEXT(TRUNC(47.53028), "0" &amp; CHAR(176) &amp; " ") &amp; TEXT(INT((ABS(47.53028)- INT(ABS(47.53028)))*60), "0' ") &amp; TEXT(((((ABS(47.53028)-INT(ABS(47.53028)))*60)- INT((ABS(47.53028) - INT(ABS(47.53028)))*60))*60), " 0''")</f>
        <v>47°c c31  49</v>
      </c>
      <c r="J928" t="str">
        <f ca="1">TEXT(TRUNC(-122.03139), "0" &amp; CHAR(176) &amp; " ") &amp; TEXT(INT((ABS(-122.03139)- INT(ABS(-122.03139)))*60), "0' ") &amp; TEXT(((((ABS(-122.03139)-INT(ABS(-122.03139)))*60)- INT((ABS(-122.03139) - INT(ABS(-122.03139)))*60))*60), " 0''")</f>
        <v>-122°c c1  53</v>
      </c>
    </row>
    <row r="929" spans="1:10">
      <c r="A929" t="s">
        <v>58</v>
      </c>
      <c r="B929" s="2">
        <v>3600</v>
      </c>
      <c r="C929" t="s">
        <v>11</v>
      </c>
      <c r="D929" t="s">
        <v>1190</v>
      </c>
      <c r="E929" t="s">
        <v>1191</v>
      </c>
      <c r="F929" t="s">
        <v>1191</v>
      </c>
      <c r="G929" t="s">
        <v>31</v>
      </c>
      <c r="H929" s="3">
        <v>39831.509722222225</v>
      </c>
      <c r="I929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929" t="str">
        <f ca="1">TEXT(TRUNC(5.1333333), "0" &amp; CHAR(176) &amp; " ") &amp; TEXT(INT((ABS(5.1333333)- INT(ABS(5.1333333)))*60), "0' ") &amp; TEXT(((((ABS(5.1333333)-INT(ABS(5.1333333)))*60)- INT((ABS(5.1333333) - INT(ABS(5.1333333)))*60))*60), " 0''")</f>
        <v>5°c c7  60</v>
      </c>
    </row>
    <row r="930" spans="1:10">
      <c r="A930" t="s">
        <v>58</v>
      </c>
      <c r="B930" s="2">
        <v>3600</v>
      </c>
      <c r="C930" t="s">
        <v>24</v>
      </c>
      <c r="D930" t="s">
        <v>1201</v>
      </c>
      <c r="E930" t="s">
        <v>1202</v>
      </c>
      <c r="F930" t="s">
        <v>57</v>
      </c>
      <c r="G930" t="s">
        <v>15</v>
      </c>
      <c r="H930" s="3">
        <v>39831.575694444444</v>
      </c>
      <c r="I930" t="str">
        <f ca="1">TEXT(TRUNC(37.78), "0" &amp; CHAR(176) &amp; " ") &amp; TEXT(INT((ABS(37.78)- INT(ABS(37.78)))*60), "0' ") &amp; TEXT(((((ABS(37.78)-INT(ABS(37.78)))*60)- INT((ABS(37.78) - INT(ABS(37.78)))*60))*60), " 0''")</f>
        <v>37°c c46  48</v>
      </c>
      <c r="J930" t="str">
        <f ca="1">TEXT(TRUNC(-121.97694), "0" &amp; CHAR(176) &amp; " ") &amp; TEXT(INT((ABS(-121.97694)- INT(ABS(-121.97694)))*60), "0' ") &amp; TEXT(((((ABS(-121.97694)-INT(ABS(-121.97694)))*60)- INT((ABS(-121.97694) - INT(ABS(-121.97694)))*60))*60), " 0''")</f>
        <v>-121°c c58  37</v>
      </c>
    </row>
    <row r="931" spans="1:10">
      <c r="A931" t="s">
        <v>58</v>
      </c>
      <c r="B931" s="2">
        <v>3600</v>
      </c>
      <c r="C931" t="s">
        <v>24</v>
      </c>
      <c r="D931" t="s">
        <v>547</v>
      </c>
      <c r="E931" t="s">
        <v>1071</v>
      </c>
      <c r="F931" t="s">
        <v>57</v>
      </c>
      <c r="G931" t="s">
        <v>15</v>
      </c>
      <c r="H931" s="3">
        <v>39831.688888888886</v>
      </c>
      <c r="I931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931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932" spans="1:10">
      <c r="A932" t="s">
        <v>58</v>
      </c>
      <c r="B932" s="2">
        <v>3600</v>
      </c>
      <c r="C932" t="s">
        <v>24</v>
      </c>
      <c r="D932" t="s">
        <v>1207</v>
      </c>
      <c r="E932" t="s">
        <v>362</v>
      </c>
      <c r="F932" t="s">
        <v>14</v>
      </c>
      <c r="G932" t="s">
        <v>15</v>
      </c>
      <c r="H932" s="3">
        <v>39831.711111111108</v>
      </c>
      <c r="I932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932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933" spans="1:10">
      <c r="A933" t="s">
        <v>58</v>
      </c>
      <c r="B933" s="2">
        <v>3600</v>
      </c>
      <c r="C933" t="s">
        <v>24</v>
      </c>
      <c r="D933" t="s">
        <v>1208</v>
      </c>
      <c r="E933" t="s">
        <v>1209</v>
      </c>
      <c r="F933" t="s">
        <v>405</v>
      </c>
      <c r="G933" t="s">
        <v>15</v>
      </c>
      <c r="H933" s="3">
        <v>39831.722222222219</v>
      </c>
      <c r="I933" t="str">
        <f ca="1">TEXT(TRUNC(44.94444), "0" &amp; CHAR(176) &amp; " ") &amp; TEXT(INT((ABS(44.94444)- INT(ABS(44.94444)))*60), "0' ") &amp; TEXT(((((ABS(44.94444)-INT(ABS(44.94444)))*60)- INT((ABS(44.94444) - INT(ABS(44.94444)))*60))*60), " 0''")</f>
        <v>44°c c56  40</v>
      </c>
      <c r="J933" t="str">
        <f ca="1">TEXT(TRUNC(-93.09306), "0" &amp; CHAR(176) &amp; " ") &amp; TEXT(INT((ABS(-93.09306)- INT(ABS(-93.09306)))*60), "0' ") &amp; TEXT(((((ABS(-93.09306)-INT(ABS(-93.09306)))*60)- INT((ABS(-93.09306) - INT(ABS(-93.09306)))*60))*60), " 0''")</f>
        <v>-93°c c5  35</v>
      </c>
    </row>
    <row r="934" spans="1:10">
      <c r="A934" t="s">
        <v>58</v>
      </c>
      <c r="B934" s="2">
        <v>3600</v>
      </c>
      <c r="C934" t="s">
        <v>24</v>
      </c>
      <c r="D934" t="s">
        <v>1212</v>
      </c>
      <c r="E934" t="s">
        <v>362</v>
      </c>
      <c r="F934" t="s">
        <v>14</v>
      </c>
      <c r="G934" t="s">
        <v>15</v>
      </c>
      <c r="H934" s="3">
        <v>39831.73541666667</v>
      </c>
      <c r="I934" t="str">
        <f ca="1">TEXT(TRUNC(40.71417), "0" &amp; CHAR(176) &amp; " ") &amp; TEXT(INT((ABS(40.71417)- INT(ABS(40.71417)))*60), "0' ") &amp; TEXT(((((ABS(40.71417)-INT(ABS(40.71417)))*60)- INT((ABS(40.71417) - INT(ABS(40.71417)))*60))*60), " 0''")</f>
        <v>40°c c42  51</v>
      </c>
      <c r="J934" t="str">
        <f ca="1">TEXT(TRUNC(-74.00639), "0" &amp; CHAR(176) &amp; " ") &amp; TEXT(INT((ABS(-74.00639)- INT(ABS(-74.00639)))*60), "0' ") &amp; TEXT(((((ABS(-74.00639)-INT(ABS(-74.00639)))*60)- INT((ABS(-74.00639) - INT(ABS(-74.00639)))*60))*60), " 0''")</f>
        <v>-74°c c0  23</v>
      </c>
    </row>
    <row r="935" spans="1:10">
      <c r="A935" t="s">
        <v>58</v>
      </c>
      <c r="B935" s="2">
        <v>3600</v>
      </c>
      <c r="C935" t="s">
        <v>11</v>
      </c>
      <c r="D935" t="s">
        <v>1231</v>
      </c>
      <c r="E935" t="s">
        <v>1232</v>
      </c>
      <c r="F935" t="s">
        <v>1233</v>
      </c>
      <c r="G935" t="s">
        <v>42</v>
      </c>
      <c r="H935" s="3">
        <v>39832.182638888888</v>
      </c>
      <c r="I935" t="str">
        <f ca="1">TEXT(TRUNC(39.2166667), "0" &amp; CHAR(176) &amp; " ") &amp; TEXT(INT((ABS(39.2166667)- INT(ABS(39.2166667)))*60), "0' ") &amp; TEXT(((((ABS(39.2166667)-INT(ABS(39.2166667)))*60)- INT((ABS(39.2166667) - INT(ABS(39.2166667)))*60))*60), " 0''")</f>
        <v>39°c c13  0</v>
      </c>
      <c r="J935" t="str">
        <f ca="1">TEXT(TRUNC(9.1166667), "0" &amp; CHAR(176) &amp; " ") &amp; TEXT(INT((ABS(9.1166667)- INT(ABS(9.1166667)))*60), "0' ") &amp; TEXT(((((ABS(9.1166667)-INT(ABS(9.1166667)))*60)- INT((ABS(9.1166667) - INT(ABS(9.1166667)))*60))*60), " 0''")</f>
        <v>9°c c7  0</v>
      </c>
    </row>
    <row r="936" spans="1:10">
      <c r="A936" t="s">
        <v>58</v>
      </c>
      <c r="B936" s="2">
        <v>3600</v>
      </c>
      <c r="C936" t="s">
        <v>11</v>
      </c>
      <c r="D936" t="s">
        <v>1244</v>
      </c>
      <c r="E936" t="s">
        <v>118</v>
      </c>
      <c r="F936" t="s">
        <v>53</v>
      </c>
      <c r="G936" t="s">
        <v>54</v>
      </c>
      <c r="H936" s="3">
        <v>39832.425694444442</v>
      </c>
      <c r="I936" t="str">
        <f ca="1">TEXT(TRUNC(51.51334), "0" &amp; CHAR(176) &amp; " ") &amp; TEXT(INT((ABS(51.51334)- INT(ABS(51.51334)))*60), "0' ") &amp; TEXT(((((ABS(51.51334)-INT(ABS(51.51334)))*60)- INT((ABS(51.51334) - INT(ABS(51.51334)))*60))*60), " 0''")</f>
        <v>51°c c30  48</v>
      </c>
      <c r="J936" t="str">
        <f ca="1">TEXT(TRUNC(-0.08895), "0" &amp; CHAR(176) &amp; " ") &amp; TEXT(INT((ABS(-0.08895)- INT(ABS(-0.08895)))*60), "0' ") &amp; TEXT(((((ABS(-0.08895)-INT(ABS(-0.08895)))*60)- INT((ABS(-0.08895) - INT(ABS(-0.08895)))*60))*60), " 0''")</f>
        <v>0°c c5  20</v>
      </c>
    </row>
    <row r="937" spans="1:10">
      <c r="A937" t="s">
        <v>58</v>
      </c>
      <c r="B937" s="2">
        <v>3600</v>
      </c>
      <c r="C937" t="s">
        <v>24</v>
      </c>
      <c r="D937" t="s">
        <v>1259</v>
      </c>
      <c r="E937" t="s">
        <v>1260</v>
      </c>
      <c r="F937" t="s">
        <v>1261</v>
      </c>
      <c r="G937" t="s">
        <v>31</v>
      </c>
      <c r="H937" s="3">
        <v>39832.652777777781</v>
      </c>
      <c r="I937" t="str">
        <f ca="1">TEXT(TRUNC(52.0333333), "0" &amp; CHAR(176) &amp; " ") &amp; TEXT(INT((ABS(52.0333333)- INT(ABS(52.0333333)))*60), "0' ") &amp; TEXT(((((ABS(52.0333333)-INT(ABS(52.0333333)))*60)- INT((ABS(52.0333333) - INT(ABS(52.0333333)))*60))*60), " 0''")</f>
        <v>52°c c1  60</v>
      </c>
      <c r="J937" t="str">
        <f ca="1">TEXT(TRUNC(5.6666667), "0" &amp; CHAR(176) &amp; " ") &amp; TEXT(INT((ABS(5.6666667)- INT(ABS(5.6666667)))*60), "0' ") &amp; TEXT(((((ABS(5.6666667)-INT(ABS(5.6666667)))*60)- INT((ABS(5.6666667) - INT(ABS(5.6666667)))*60))*60), " 0''")</f>
        <v>5°c c40  0</v>
      </c>
    </row>
    <row r="938" spans="1:10">
      <c r="A938" t="s">
        <v>58</v>
      </c>
      <c r="B938" s="2">
        <v>3600</v>
      </c>
      <c r="C938" t="s">
        <v>24</v>
      </c>
      <c r="D938" t="s">
        <v>1288</v>
      </c>
      <c r="E938" t="s">
        <v>1289</v>
      </c>
      <c r="F938" t="s">
        <v>193</v>
      </c>
      <c r="G938" t="s">
        <v>15</v>
      </c>
      <c r="H938" s="3">
        <v>39833.297222222223</v>
      </c>
      <c r="I938" t="str">
        <f ca="1">TEXT(TRUNC(40.00639), "0" &amp; CHAR(176) &amp; " ") &amp; TEXT(INT((ABS(40.00639)- INT(ABS(40.00639)))*60), "0' ") &amp; TEXT(((((ABS(40.00639)-INT(ABS(40.00639)))*60)- INT((ABS(40.00639) - INT(ABS(40.00639)))*60))*60), " 0''")</f>
        <v>40°c c0  23</v>
      </c>
      <c r="J938" t="str">
        <f ca="1">TEXT(TRUNC(-75.70361), "0" &amp; CHAR(176) &amp; " ") &amp; TEXT(INT((ABS(-75.70361)- INT(ABS(-75.70361)))*60), "0' ") &amp; TEXT(((((ABS(-75.70361)-INT(ABS(-75.70361)))*60)- INT((ABS(-75.70361) - INT(ABS(-75.70361)))*60))*60), " 0''")</f>
        <v>-75°c c42  13</v>
      </c>
    </row>
    <row r="939" spans="1:10">
      <c r="A939" t="s">
        <v>58</v>
      </c>
      <c r="B939" s="2">
        <v>3600</v>
      </c>
      <c r="C939" t="s">
        <v>24</v>
      </c>
      <c r="D939" t="s">
        <v>1298</v>
      </c>
      <c r="E939" t="s">
        <v>100</v>
      </c>
      <c r="F939" t="s">
        <v>80</v>
      </c>
      <c r="G939" t="s">
        <v>81</v>
      </c>
      <c r="H939" s="3">
        <v>39833.420138888891</v>
      </c>
      <c r="I939" t="str">
        <f ca="1">TEXT(TRUNC(51.0833333), "0" &amp; CHAR(176) &amp; " ") &amp; TEXT(INT((ABS(51.0833333)- INT(ABS(51.0833333)))*60), "0' ") &amp; TEXT(((((ABS(51.0833333)-INT(ABS(51.0833333)))*60)- INT((ABS(51.0833333) - INT(ABS(51.0833333)))*60))*60), " 0''")</f>
        <v>51°c c4  60</v>
      </c>
      <c r="J939" t="str">
        <f ca="1">TEXT(TRUNC(-114.0833333), "0" &amp; CHAR(176) &amp; " ") &amp; TEXT(INT((ABS(-114.0833333)- INT(ABS(-114.0833333)))*60), "0' ") &amp; TEXT(((((ABS(-114.0833333)-INT(ABS(-114.0833333)))*60)- INT((ABS(-114.0833333) - INT(ABS(-114.0833333)))*60))*60), " 0''")</f>
        <v>-114°c c4  60</v>
      </c>
    </row>
    <row r="940" spans="1:10">
      <c r="A940" t="s">
        <v>58</v>
      </c>
      <c r="B940" s="2">
        <v>3600</v>
      </c>
      <c r="C940" t="s">
        <v>50</v>
      </c>
      <c r="D940" t="s">
        <v>1299</v>
      </c>
      <c r="E940" t="s">
        <v>1300</v>
      </c>
      <c r="F940" t="s">
        <v>53</v>
      </c>
      <c r="G940" t="s">
        <v>54</v>
      </c>
      <c r="H940" s="3">
        <v>39833.445833333331</v>
      </c>
      <c r="I940" t="str">
        <f ca="1">TEXT(TRUNC(53.65), "0" &amp; CHAR(176) &amp; " ") &amp; TEXT(INT((ABS(53.65)- INT(ABS(53.65)))*60), "0' ") &amp; TEXT(((((ABS(53.65)-INT(ABS(53.65)))*60)- INT((ABS(53.65) - INT(ABS(53.65)))*60))*60), " 0''")</f>
        <v>53°c c38  60</v>
      </c>
      <c r="J940" t="str">
        <f ca="1">TEXT(TRUNC(-1.7833333), "0" &amp; CHAR(176) &amp; " ") &amp; TEXT(INT((ABS(-1.7833333)- INT(ABS(-1.7833333)))*60), "0' ") &amp; TEXT(((((ABS(-1.7833333)-INT(ABS(-1.7833333)))*60)- INT((ABS(-1.7833333) - INT(ABS(-1.7833333)))*60))*60), " 0''")</f>
        <v>-1°c c46  60</v>
      </c>
    </row>
    <row r="941" spans="1:10">
      <c r="A941" t="s">
        <v>58</v>
      </c>
      <c r="B941" s="2">
        <v>3600</v>
      </c>
      <c r="C941" t="s">
        <v>24</v>
      </c>
      <c r="D941" t="s">
        <v>990</v>
      </c>
      <c r="E941" t="s">
        <v>1307</v>
      </c>
      <c r="F941" t="s">
        <v>1308</v>
      </c>
      <c r="G941" t="s">
        <v>209</v>
      </c>
      <c r="H941" s="3">
        <v>39833.616666666669</v>
      </c>
      <c r="I941" t="str">
        <f ca="1">TEXT(TRUNC(58.6), "0" &amp; CHAR(176) &amp; " ") &amp; TEXT(INT((ABS(58.6)- INT(ABS(58.6)))*60), "0' ") &amp; TEXT(((((ABS(58.6)-INT(ABS(58.6)))*60)- INT((ABS(58.6) - INT(ABS(58.6)))*60))*60), " 0''")</f>
        <v>58°c c36  0</v>
      </c>
      <c r="J941" t="str">
        <f ca="1">TEXT(TRUNC(16.1833333), "0" &amp; CHAR(176) &amp; " ") &amp; TEXT(INT((ABS(16.1833333)- INT(ABS(16.1833333)))*60), "0' ") &amp; TEXT(((((ABS(16.1833333)-INT(ABS(16.1833333)))*60)- INT((ABS(16.1833333) - INT(ABS(16.1833333)))*60))*60), " 0''")</f>
        <v>16°c c10  60</v>
      </c>
    </row>
    <row r="942" spans="1:10">
      <c r="A942" t="s">
        <v>58</v>
      </c>
      <c r="B942" s="2">
        <v>3600</v>
      </c>
      <c r="C942" t="s">
        <v>24</v>
      </c>
      <c r="D942" t="s">
        <v>752</v>
      </c>
      <c r="E942" t="s">
        <v>94</v>
      </c>
      <c r="F942" t="s">
        <v>95</v>
      </c>
      <c r="G942" t="s">
        <v>81</v>
      </c>
      <c r="H942" s="3">
        <v>39833.724305555559</v>
      </c>
      <c r="I942" t="str">
        <f ca="1">TEXT(TRUNC(43.6666667), "0" &amp; CHAR(176) &amp; " ") &amp; TEXT(INT((ABS(43.6666667)- INT(ABS(43.6666667)))*60), "0' ") &amp; TEXT(((((ABS(43.6666667)-INT(ABS(43.6666667)))*60)- INT((ABS(43.6666667) - INT(ABS(43.6666667)))*60))*60), " 0''")</f>
        <v>43°c c40  0</v>
      </c>
      <c r="J942" t="str">
        <f ca="1">TEXT(TRUNC(-79.4166667), "0" &amp; CHAR(176) &amp; " ") &amp; TEXT(INT((ABS(-79.4166667)- INT(ABS(-79.4166667)))*60), "0' ") &amp; TEXT(((((ABS(-79.4166667)-INT(ABS(-79.4166667)))*60)- INT((ABS(-79.4166667) - INT(ABS(-79.4166667)))*60))*60), " 0''")</f>
        <v>-79°c c25  0</v>
      </c>
    </row>
    <row r="943" spans="1:10">
      <c r="A943" t="s">
        <v>58</v>
      </c>
      <c r="B943" s="2">
        <v>3600</v>
      </c>
      <c r="C943" t="s">
        <v>24</v>
      </c>
      <c r="D943" t="s">
        <v>1196</v>
      </c>
      <c r="E943" t="s">
        <v>1319</v>
      </c>
      <c r="F943" t="s">
        <v>388</v>
      </c>
      <c r="G943" t="s">
        <v>75</v>
      </c>
      <c r="H943" s="3">
        <v>39834.097222222219</v>
      </c>
      <c r="I943" t="str">
        <f ca="1">TEXT(TRUNC(46.1833333), "0" &amp; CHAR(176) &amp; " ") &amp; TEXT(INT((ABS(46.1833333)- INT(ABS(46.1833333)))*60), "0' ") &amp; TEXT(((((ABS(46.1833333)-INT(ABS(46.1833333)))*60)- INT((ABS(46.1833333) - INT(ABS(46.1833333)))*60))*60), " 0''")</f>
        <v>46°c c10  60</v>
      </c>
      <c r="J943" t="str">
        <f ca="1">TEXT(TRUNC(6.1333333), "0" &amp; CHAR(176) &amp; " ") &amp; TEXT(INT((ABS(6.1333333)- INT(ABS(6.1333333)))*60), "0' ") &amp; TEXT(((((ABS(6.1333333)-INT(ABS(6.1333333)))*60)- INT((ABS(6.1333333) - INT(ABS(6.1333333)))*60))*60), " 0''")</f>
        <v>6°c c7  60</v>
      </c>
    </row>
    <row r="944" spans="1:10">
      <c r="A944" t="s">
        <v>58</v>
      </c>
      <c r="B944" s="2">
        <v>3600</v>
      </c>
      <c r="C944" t="s">
        <v>24</v>
      </c>
      <c r="D944" t="s">
        <v>1342</v>
      </c>
      <c r="E944" t="s">
        <v>1343</v>
      </c>
      <c r="F944" t="s">
        <v>45</v>
      </c>
      <c r="G944" t="s">
        <v>15</v>
      </c>
      <c r="H944" s="3">
        <v>39834.505555555559</v>
      </c>
      <c r="I944" t="str">
        <f ca="1">TEXT(TRUNC(30.33194), "0" &amp; CHAR(176) &amp; " ") &amp; TEXT(INT((ABS(30.33194)- INT(ABS(30.33194)))*60), "0' ") &amp; TEXT(((((ABS(30.33194)-INT(ABS(30.33194)))*60)- INT((ABS(30.33194) - INT(ABS(30.33194)))*60))*60), " 0''")</f>
        <v>30°c c19  55</v>
      </c>
      <c r="J944" t="str">
        <f ca="1">TEXT(TRUNC(-81.65583), "0" &amp; CHAR(176) &amp; " ") &amp; TEXT(INT((ABS(-81.65583)- INT(ABS(-81.65583)))*60), "0' ") &amp; TEXT(((((ABS(-81.65583)-INT(ABS(-81.65583)))*60)- INT((ABS(-81.65583) - INT(ABS(-81.65583)))*60))*60), " 0''")</f>
        <v>-81°c c39  21</v>
      </c>
    </row>
    <row r="945" spans="1:10">
      <c r="A945" t="s">
        <v>58</v>
      </c>
      <c r="B945" s="2">
        <v>3600</v>
      </c>
      <c r="C945" t="s">
        <v>11</v>
      </c>
      <c r="D945" t="s">
        <v>1369</v>
      </c>
      <c r="E945" t="s">
        <v>1370</v>
      </c>
      <c r="F945" t="s">
        <v>270</v>
      </c>
      <c r="G945" t="s">
        <v>31</v>
      </c>
      <c r="H945" s="3">
        <v>39835.164583333331</v>
      </c>
      <c r="I945" t="str">
        <f ca="1">TEXT(TRUNC(52.1833333), "0" &amp; CHAR(176) &amp; " ") &amp; TEXT(INT((ABS(52.1833333)- INT(ABS(52.1833333)))*60), "0' ") &amp; TEXT(((((ABS(52.1833333)-INT(ABS(52.1833333)))*60)- INT((ABS(52.1833333) - INT(ABS(52.1833333)))*60))*60), " 0''")</f>
        <v>52°c c10  60</v>
      </c>
      <c r="J945" t="str">
        <f ca="1">TEXT(TRUNC(4.4666667), "0" &amp; CHAR(176) &amp; " ") &amp; TEXT(INT((ABS(4.4666667)- INT(ABS(4.4666667)))*60), "0' ") &amp; TEXT(((((ABS(4.4666667)-INT(ABS(4.4666667)))*60)- INT((ABS(4.4666667) - INT(ABS(4.4666667)))*60))*60), " 0''")</f>
        <v>4°c c28  0</v>
      </c>
    </row>
    <row r="946" spans="1:10">
      <c r="A946" t="s">
        <v>58</v>
      </c>
      <c r="B946" s="2">
        <v>3600</v>
      </c>
      <c r="C946" t="s">
        <v>24</v>
      </c>
      <c r="D946" t="s">
        <v>1371</v>
      </c>
      <c r="E946" t="s">
        <v>1372</v>
      </c>
      <c r="F946" t="s">
        <v>326</v>
      </c>
      <c r="G946" t="s">
        <v>54</v>
      </c>
      <c r="H946" s="3">
        <v>39835.23541666667</v>
      </c>
      <c r="I946" t="str">
        <f ca="1">TEXT(TRUNC(51.6333333), "0" &amp; CHAR(176) &amp; " ") &amp; TEXT(INT((ABS(51.6333333)- INT(ABS(51.6333333)))*60), "0' ") &amp; TEXT(((((ABS(51.6333333)-INT(ABS(51.6333333)))*60)- INT((ABS(51.6333333) - INT(ABS(51.6333333)))*60))*60), " 0''")</f>
        <v>51°c c37  60</v>
      </c>
      <c r="J946" t="str">
        <f ca="1">TEXT(TRUNC(-4.1), "0" &amp; CHAR(176) &amp; " ") &amp; TEXT(INT((ABS(-4.1)- INT(ABS(-4.1)))*60), "0' ") &amp; TEXT(((((ABS(-4.1)-INT(ABS(-4.1)))*60)- INT((ABS(-4.1) - INT(ABS(-4.1)))*60))*60), " 0''")</f>
        <v>-4°c c5  60</v>
      </c>
    </row>
    <row r="947" spans="1:10">
      <c r="A947" t="s">
        <v>58</v>
      </c>
      <c r="B947" s="2">
        <v>3600</v>
      </c>
      <c r="C947" t="s">
        <v>11</v>
      </c>
      <c r="D947" t="s">
        <v>1378</v>
      </c>
      <c r="E947" t="s">
        <v>1379</v>
      </c>
      <c r="F947" t="s">
        <v>53</v>
      </c>
      <c r="G947" t="s">
        <v>54</v>
      </c>
      <c r="H947" s="3">
        <v>39835.408333333333</v>
      </c>
      <c r="I947" t="str">
        <f ca="1">TEXT(TRUNC(51.1333333), "0" &amp; CHAR(176) &amp; " ") &amp; TEXT(INT((ABS(51.1333333)- INT(ABS(51.1333333)))*60), "0' ") &amp; TEXT(((((ABS(51.1333333)-INT(ABS(51.1333333)))*60)- INT((ABS(51.1333333) - INT(ABS(51.1333333)))*60))*60), " 0''")</f>
        <v>51°c c7  60</v>
      </c>
      <c r="J947" t="str">
        <f ca="1">TEXT(TRUNC(0.2833333), "0" &amp; CHAR(176) &amp; " ") &amp; TEXT(INT((ABS(0.2833333)- INT(ABS(0.2833333)))*60), "0' ") &amp; TEXT(((((ABS(0.2833333)-INT(ABS(0.2833333)))*60)- INT((ABS(0.2833333) - INT(ABS(0.2833333)))*60))*60), " 0''")</f>
        <v>0°c c16  60</v>
      </c>
    </row>
    <row r="948" spans="1:10">
      <c r="A948" t="s">
        <v>58</v>
      </c>
      <c r="B948" s="2">
        <v>3600</v>
      </c>
      <c r="C948" t="s">
        <v>33</v>
      </c>
      <c r="D948" t="s">
        <v>760</v>
      </c>
      <c r="E948" t="s">
        <v>1390</v>
      </c>
      <c r="F948" t="s">
        <v>57</v>
      </c>
      <c r="G948" t="s">
        <v>15</v>
      </c>
      <c r="H948" s="3">
        <v>39835.525694444441</v>
      </c>
      <c r="I948" t="str">
        <f ca="1">TEXT(TRUNC(37.97472), "0" &amp; CHAR(176) &amp; " ") &amp; TEXT(INT((ABS(37.97472)- INT(ABS(37.97472)))*60), "0' ") &amp; TEXT(((((ABS(37.97472)-INT(ABS(37.97472)))*60)- INT((ABS(37.97472) - INT(ABS(37.97472)))*60))*60), " 0''")</f>
        <v>37°c c58  29</v>
      </c>
      <c r="J948" t="str">
        <f ca="1">TEXT(TRUNC(-122.56056), "0" &amp; CHAR(176) &amp; " ") &amp; TEXT(INT((ABS(-122.56056)- INT(ABS(-122.56056)))*60), "0' ") &amp; TEXT(((((ABS(-122.56056)-INT(ABS(-122.56056)))*60)- INT((ABS(-122.56056) - INT(ABS(-122.56056)))*60))*60), " 0''")</f>
        <v>-122°c c33  38</v>
      </c>
    </row>
    <row r="949" spans="1:10">
      <c r="A949" t="s">
        <v>58</v>
      </c>
      <c r="B949" s="2">
        <v>3600</v>
      </c>
      <c r="C949" t="s">
        <v>24</v>
      </c>
      <c r="D949" t="s">
        <v>25</v>
      </c>
      <c r="E949" t="s">
        <v>421</v>
      </c>
      <c r="F949" t="s">
        <v>95</v>
      </c>
      <c r="G949" t="s">
        <v>81</v>
      </c>
      <c r="H949" s="3">
        <v>39835.665972222225</v>
      </c>
      <c r="I949" t="str">
        <f ca="1">TEXT(TRUNC(45.4166667), "0" &amp; CHAR(176) &amp; " ") &amp; TEXT(INT((ABS(45.4166667)- INT(ABS(45.4166667)))*60), "0' ") &amp; TEXT(((((ABS(45.4166667)-INT(ABS(45.4166667)))*60)- INT((ABS(45.4166667) - INT(ABS(45.4166667)))*60))*60), " 0''")</f>
        <v>45°c c25  0</v>
      </c>
      <c r="J949" t="str">
        <f ca="1">TEXT(TRUNC(-75.7), "0" &amp; CHAR(176) &amp; " ") &amp; TEXT(INT((ABS(-75.7)- INT(ABS(-75.7)))*60), "0' ") &amp; TEXT(((((ABS(-75.7)-INT(ABS(-75.7)))*60)- INT((ABS(-75.7) - INT(ABS(-75.7)))*60))*60), " 0''")</f>
        <v>-75°c c42  0</v>
      </c>
    </row>
    <row r="950" spans="1:10">
      <c r="A950" t="s">
        <v>58</v>
      </c>
      <c r="B950" s="2">
        <v>3600</v>
      </c>
      <c r="C950" t="s">
        <v>11</v>
      </c>
      <c r="D950" t="s">
        <v>1406</v>
      </c>
      <c r="E950" t="s">
        <v>1407</v>
      </c>
      <c r="F950" t="s">
        <v>68</v>
      </c>
      <c r="G950" t="s">
        <v>15</v>
      </c>
      <c r="H950" s="3">
        <v>39835.927777777775</v>
      </c>
      <c r="I950" t="str">
        <f ca="1">TEXT(TRUNC(47.61056), "0" &amp; CHAR(176) &amp; " ") &amp; TEXT(INT((ABS(47.61056)- INT(ABS(47.61056)))*60), "0' ") &amp; TEXT(((((ABS(47.61056)-INT(ABS(47.61056)))*60)- INT((ABS(47.61056) - INT(ABS(47.61056)))*60))*60), " 0''")</f>
        <v>47°c c36  38</v>
      </c>
      <c r="J950" t="str">
        <f ca="1">TEXT(TRUNC(-122.19944), "0" &amp; CHAR(176) &amp; " ") &amp; TEXT(INT((ABS(-122.19944)- INT(ABS(-122.19944)))*60), "0' ") &amp; TEXT(((((ABS(-122.19944)-INT(ABS(-122.19944)))*60)- INT((ABS(-122.19944) - INT(ABS(-122.19944)))*60))*60), " 0''")</f>
        <v>-122°c c11  58</v>
      </c>
    </row>
    <row r="951" spans="1:10">
      <c r="A951" t="s">
        <v>58</v>
      </c>
      <c r="B951" s="2">
        <v>3600</v>
      </c>
      <c r="C951" t="s">
        <v>11</v>
      </c>
      <c r="D951" t="s">
        <v>1412</v>
      </c>
      <c r="E951" t="s">
        <v>1209</v>
      </c>
      <c r="F951" t="s">
        <v>405</v>
      </c>
      <c r="G951" t="s">
        <v>15</v>
      </c>
      <c r="H951" s="3">
        <v>39836.147916666669</v>
      </c>
      <c r="I951" t="str">
        <f ca="1">TEXT(TRUNC(44.94444), "0" &amp; CHAR(176) &amp; " ") &amp; TEXT(INT((ABS(44.94444)- INT(ABS(44.94444)))*60), "0' ") &amp; TEXT(((((ABS(44.94444)-INT(ABS(44.94444)))*60)- INT((ABS(44.94444) - INT(ABS(44.94444)))*60))*60), " 0''")</f>
        <v>44°c c56  40</v>
      </c>
      <c r="J951" t="str">
        <f ca="1">TEXT(TRUNC(-93.09306), "0" &amp; CHAR(176) &amp; " ") &amp; TEXT(INT((ABS(-93.09306)- INT(ABS(-93.09306)))*60), "0' ") &amp; TEXT(((((ABS(-93.09306)-INT(ABS(-93.09306)))*60)- INT((ABS(-93.09306) - INT(ABS(-93.09306)))*60))*60), " 0''")</f>
        <v>-93°c c5  35</v>
      </c>
    </row>
    <row r="952" spans="1:10">
      <c r="A952" t="s">
        <v>58</v>
      </c>
      <c r="B952" s="2">
        <v>3600</v>
      </c>
      <c r="C952" t="s">
        <v>33</v>
      </c>
      <c r="D952" t="s">
        <v>1421</v>
      </c>
      <c r="E952" t="s">
        <v>636</v>
      </c>
      <c r="F952" t="s">
        <v>45</v>
      </c>
      <c r="G952" t="s">
        <v>15</v>
      </c>
      <c r="H952" s="3">
        <v>39836.317361111112</v>
      </c>
      <c r="I952" t="str">
        <f ca="1">TEXT(TRUNC(25.77389), "0" &amp; CHAR(176) &amp; " ") &amp; TEXT(INT((ABS(25.77389)- INT(ABS(25.77389)))*60), "0' ") &amp; TEXT(((((ABS(25.77389)-INT(ABS(25.77389)))*60)- INT((ABS(25.77389) - INT(ABS(25.77389)))*60))*60), " 0''")</f>
        <v>25°c c46  26</v>
      </c>
      <c r="J952" t="str">
        <f ca="1">TEXT(TRUNC(-80.19389), "0" &amp; CHAR(176) &amp; " ") &amp; TEXT(INT((ABS(-80.19389)- INT(ABS(-80.19389)))*60), "0' ") &amp; TEXT(((((ABS(-80.19389)-INT(ABS(-80.19389)))*60)- INT((ABS(-80.19389) - INT(ABS(-80.19389)))*60))*60), " 0''")</f>
        <v>-80°c c11  38</v>
      </c>
    </row>
    <row r="953" spans="1:10">
      <c r="A953" t="s">
        <v>58</v>
      </c>
      <c r="B953" s="2">
        <v>3600</v>
      </c>
      <c r="C953" t="s">
        <v>33</v>
      </c>
      <c r="D953" t="s">
        <v>1426</v>
      </c>
      <c r="E953" t="s">
        <v>1427</v>
      </c>
      <c r="F953" t="s">
        <v>357</v>
      </c>
      <c r="G953" t="s">
        <v>209</v>
      </c>
      <c r="H953" s="3">
        <v>39836.38125</v>
      </c>
      <c r="I953" t="str">
        <f ca="1">TEXT(TRUNC(59.3666667), "0" &amp; CHAR(176) &amp; " ") &amp; TEXT(INT((ABS(59.3666667)- INT(ABS(59.3666667)))*60), "0' ") &amp; TEXT(((((ABS(59.3666667)-INT(ABS(59.3666667)))*60)- INT((ABS(59.3666667) - INT(ABS(59.3666667)))*60))*60), " 0''")</f>
        <v>59°c c22  0</v>
      </c>
      <c r="J953" t="str">
        <f ca="1">TEXT(TRUNC(18.1333333), "0" &amp; CHAR(176) &amp; " ") &amp; TEXT(INT((ABS(18.1333333)- INT(ABS(18.1333333)))*60), "0' ") &amp; TEXT(((((ABS(18.1333333)-INT(ABS(18.1333333)))*60)- INT((ABS(18.1333333) - INT(ABS(18.1333333)))*60))*60), " 0''")</f>
        <v>18°c c7  60</v>
      </c>
    </row>
    <row r="954" spans="1:10">
      <c r="A954" t="s">
        <v>58</v>
      </c>
      <c r="B954" s="2">
        <v>3600</v>
      </c>
      <c r="C954" t="s">
        <v>11</v>
      </c>
      <c r="D954" t="s">
        <v>1438</v>
      </c>
      <c r="E954" t="s">
        <v>1439</v>
      </c>
      <c r="F954" t="s">
        <v>267</v>
      </c>
      <c r="G954" t="s">
        <v>49</v>
      </c>
      <c r="H954" s="3">
        <v>39836.529166666667</v>
      </c>
      <c r="I954" t="str">
        <f ca="1">TEXT(TRUNC(-33.6333333), "0" &amp; CHAR(176) &amp; " ") &amp; TEXT(INT((ABS(-33.6333333)- INT(ABS(-33.6333333)))*60), "0' ") &amp; TEXT(((((ABS(-33.6333333)-INT(ABS(-33.6333333)))*60)- INT((ABS(-33.6333333) - INT(ABS(-33.6333333)))*60))*60), " 0''")</f>
        <v>-33°c c37  60</v>
      </c>
      <c r="J954" t="str">
        <f ca="1">TEXT(TRUNC(151.3333333), "0" &amp; CHAR(176) &amp; " ") &amp; TEXT(INT((ABS(151.3333333)- INT(ABS(151.3333333)))*60), "0' ") &amp; TEXT(((((ABS(151.3333333)-INT(ABS(151.3333333)))*60)- INT((ABS(151.3333333) - INT(ABS(151.3333333)))*60))*60), " 0''")</f>
        <v>151°c c19  60</v>
      </c>
    </row>
    <row r="955" spans="1:10">
      <c r="A955" t="s">
        <v>58</v>
      </c>
      <c r="B955" s="2">
        <v>3600</v>
      </c>
      <c r="C955" t="s">
        <v>33</v>
      </c>
      <c r="D955" t="s">
        <v>1447</v>
      </c>
      <c r="E955" t="s">
        <v>1448</v>
      </c>
      <c r="F955" t="s">
        <v>57</v>
      </c>
      <c r="G955" t="s">
        <v>15</v>
      </c>
      <c r="H955" s="3">
        <v>39836.6875</v>
      </c>
      <c r="I955" t="str">
        <f ca="1">TEXT(TRUNC(33.49361), "0" &amp; CHAR(176) &amp; " ") &amp; TEXT(INT((ABS(33.49361)- INT(ABS(33.49361)))*60), "0' ") &amp; TEXT(((((ABS(33.49361)-INT(ABS(33.49361)))*60)- INT((ABS(33.49361) - INT(ABS(33.49361)))*60))*60), " 0''")</f>
        <v>33°c c29  37</v>
      </c>
      <c r="J955" t="str">
        <f ca="1">TEXT(TRUNC(-117.1475), "0" &amp; CHAR(176) &amp; " ") &amp; TEXT(INT((ABS(-117.1475)- INT(ABS(-117.1475)))*60), "0' ") &amp; TEXT(((((ABS(-117.1475)-INT(ABS(-117.1475)))*60)- INT((ABS(-117.1475) - INT(ABS(-117.1475)))*60))*60), " 0''")</f>
        <v>-117°c c8  51</v>
      </c>
    </row>
    <row r="956" spans="1:10">
      <c r="A956" t="s">
        <v>58</v>
      </c>
      <c r="B956" s="2">
        <v>3600</v>
      </c>
      <c r="C956" t="s">
        <v>24</v>
      </c>
      <c r="D956" t="s">
        <v>194</v>
      </c>
      <c r="E956" t="s">
        <v>1463</v>
      </c>
      <c r="F956" t="s">
        <v>130</v>
      </c>
      <c r="G956" t="s">
        <v>54</v>
      </c>
      <c r="H956" s="3">
        <v>39837.304166666669</v>
      </c>
      <c r="I956" t="str">
        <f ca="1">TEXT(TRUNC(56.6666667), "0" &amp; CHAR(176) &amp; " ") &amp; TEXT(INT((ABS(56.6666667)- INT(ABS(56.6666667)))*60), "0' ") &amp; TEXT(((((ABS(56.6666667)-INT(ABS(56.6666667)))*60)- INT((ABS(56.6666667) - INT(ABS(56.6666667)))*60))*60), " 0''")</f>
        <v>56°c c40  0</v>
      </c>
      <c r="J956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957" spans="1:10">
      <c r="A957" t="s">
        <v>58</v>
      </c>
      <c r="B957" s="2">
        <v>3600</v>
      </c>
      <c r="C957" t="s">
        <v>24</v>
      </c>
      <c r="D957" t="s">
        <v>55</v>
      </c>
      <c r="E957" t="s">
        <v>1463</v>
      </c>
      <c r="F957" t="s">
        <v>130</v>
      </c>
      <c r="G957" t="s">
        <v>54</v>
      </c>
      <c r="H957" s="3">
        <v>39837.375694444447</v>
      </c>
      <c r="I957" t="str">
        <f ca="1">TEXT(TRUNC(56.6666667), "0" &amp; CHAR(176) &amp; " ") &amp; TEXT(INT((ABS(56.6666667)- INT(ABS(56.6666667)))*60), "0' ") &amp; TEXT(((((ABS(56.6666667)-INT(ABS(56.6666667)))*60)- INT((ABS(56.6666667) - INT(ABS(56.6666667)))*60))*60), " 0''")</f>
        <v>56°c c40  0</v>
      </c>
      <c r="J957" t="str">
        <f ca="1">TEXT(TRUNC(-3), "0" &amp; CHAR(176) &amp; " ") &amp; TEXT(INT((ABS(-3)- INT(ABS(-3)))*60), "0' ") &amp; TEXT(((((ABS(-3)-INT(ABS(-3)))*60)- INT((ABS(-3) - INT(ABS(-3)))*60))*60), " 0''")</f>
        <v>-3°c c0  0</v>
      </c>
    </row>
    <row r="958" spans="1:10">
      <c r="A958" t="s">
        <v>58</v>
      </c>
      <c r="B958" s="2">
        <v>3600</v>
      </c>
      <c r="C958" t="s">
        <v>11</v>
      </c>
      <c r="D958" t="s">
        <v>1486</v>
      </c>
      <c r="E958" t="s">
        <v>1487</v>
      </c>
      <c r="F958" t="s">
        <v>394</v>
      </c>
      <c r="G958" t="s">
        <v>75</v>
      </c>
      <c r="H958" s="3">
        <v>39837.57916666667</v>
      </c>
      <c r="I958" t="str">
        <f ca="1">TEXT(TRUNC(47.45), "0" &amp; CHAR(176) &amp; " ") &amp; TEXT(INT((ABS(47.45)- INT(ABS(47.45)))*60), "0' ") &amp; TEXT(((((ABS(47.45)-INT(ABS(47.45)))*60)- INT((ABS(47.45) - INT(ABS(47.45)))*60))*60), " 0''")</f>
        <v>47°c c27  0</v>
      </c>
      <c r="J958" t="str">
        <f ca="1">TEXT(TRUNC(8.5833333), "0" &amp; CHAR(176) &amp; " ") &amp; TEXT(INT((ABS(8.5833333)- INT(ABS(8.5833333)))*60), "0' ") &amp; TEXT(((((ABS(8.5833333)-INT(ABS(8.5833333)))*60)- INT((ABS(8.5833333) - INT(ABS(8.5833333)))*60))*60), " 0''")</f>
        <v>8°c c34  60</v>
      </c>
    </row>
    <row r="959" spans="1:10">
      <c r="A959" t="s">
        <v>58</v>
      </c>
      <c r="B959" s="2">
        <v>3600</v>
      </c>
      <c r="C959" t="s">
        <v>24</v>
      </c>
      <c r="D959" t="s">
        <v>1489</v>
      </c>
      <c r="E959" t="s">
        <v>1490</v>
      </c>
      <c r="F959" t="s">
        <v>152</v>
      </c>
      <c r="G959" t="s">
        <v>15</v>
      </c>
      <c r="H959" s="3">
        <v>39837.720833333333</v>
      </c>
      <c r="I959" t="str">
        <f ca="1">TEXT(TRUNC(39.00611), "0" &amp; CHAR(176) &amp; " ") &amp; TEXT(INT((ABS(39.00611)- INT(ABS(39.00611)))*60), "0' ") &amp; TEXT(((((ABS(39.00611)-INT(ABS(39.00611)))*60)- INT((ABS(39.00611) - INT(ABS(39.00611)))*60))*60), " 0''")</f>
        <v>39°c c0  22</v>
      </c>
      <c r="J959" t="str">
        <f ca="1">TEXT(TRUNC(-77.42889), "0" &amp; CHAR(176) &amp; " ") &amp; TEXT(INT((ABS(-77.42889)- INT(ABS(-77.42889)))*60), "0' ") &amp; TEXT(((((ABS(-77.42889)-INT(ABS(-77.42889)))*60)- INT((ABS(-77.42889) - INT(ABS(-77.42889)))*60))*60), " 0''")</f>
        <v>-77°c c25  44</v>
      </c>
    </row>
    <row r="960" spans="1:10">
      <c r="A960" t="s">
        <v>58</v>
      </c>
      <c r="B960" s="2">
        <v>3600</v>
      </c>
      <c r="C960" t="s">
        <v>24</v>
      </c>
      <c r="D960" t="s">
        <v>627</v>
      </c>
      <c r="E960" t="s">
        <v>1152</v>
      </c>
      <c r="F960" t="s">
        <v>762</v>
      </c>
      <c r="G960" t="s">
        <v>763</v>
      </c>
      <c r="H960" s="3">
        <v>39838.115277777775</v>
      </c>
      <c r="I960" t="str">
        <f ca="1">TEXT(TRUNC(25.2522222), "0" &amp; CHAR(176) &amp; " ") &amp; TEXT(INT((ABS(25.2522222)- INT(ABS(25.2522222)))*60), "0' ") &amp; TEXT(((((ABS(25.2522222)-INT(ABS(25.2522222)))*60)- INT((ABS(25.2522222) - INT(ABS(25.2522222)))*60))*60), " 0''")</f>
        <v>25°c c15  8</v>
      </c>
      <c r="J960" t="str">
        <f ca="1">TEXT(TRUNC(55.28), "0" &amp; CHAR(176) &amp; " ") &amp; TEXT(INT((ABS(55.28)- INT(ABS(55.28)))*60), "0' ") &amp; TEXT(((((ABS(55.28)-INT(ABS(55.28)))*60)- INT((ABS(55.28) - INT(ABS(55.28)))*60))*60), " 0''")</f>
        <v>55°c c16  48</v>
      </c>
    </row>
    <row r="961" spans="1:10">
      <c r="A961" t="s">
        <v>58</v>
      </c>
      <c r="B961" s="2">
        <v>3600</v>
      </c>
      <c r="C961" t="s">
        <v>24</v>
      </c>
      <c r="D961" t="s">
        <v>471</v>
      </c>
      <c r="E961" t="s">
        <v>562</v>
      </c>
      <c r="F961" t="s">
        <v>562</v>
      </c>
      <c r="G961" t="s">
        <v>85</v>
      </c>
      <c r="H961" s="3">
        <v>39838.344444444447</v>
      </c>
      <c r="I961" t="str">
        <f ca="1">TEXT(TRUNC(59.9166667), "0" &amp; CHAR(176) &amp; " ") &amp; TEXT(INT((ABS(59.9166667)- INT(ABS(59.9166667)))*60), "0' ") &amp; TEXT(((((ABS(59.9166667)-INT(ABS(59.9166667)))*60)- INT((ABS(59.9166667) - INT(ABS(59.9166667)))*60))*60), " 0''")</f>
        <v>59°c c55  0</v>
      </c>
      <c r="J961" t="str">
        <f ca="1">TEXT(TRUNC(10.75), "0" &amp; CHAR(176) &amp; " ") &amp; TEXT(INT((ABS(10.75)- INT(ABS(10.75)))*60), "0' ") &amp; TEXT(((((ABS(10.75)-INT(ABS(10.75)))*60)- INT((ABS(10.75) - INT(ABS(10.75)))*60))*60), " 0''")</f>
        <v>10°c c45  0</v>
      </c>
    </row>
    <row r="962" spans="1:10">
      <c r="A962" t="s">
        <v>58</v>
      </c>
      <c r="B962" s="2">
        <v>3600</v>
      </c>
      <c r="C962" t="s">
        <v>11</v>
      </c>
      <c r="D962" t="s">
        <v>754</v>
      </c>
      <c r="E962" t="s">
        <v>1526</v>
      </c>
      <c r="F962" t="s">
        <v>1527</v>
      </c>
      <c r="G962" t="s">
        <v>437</v>
      </c>
      <c r="H962" s="3">
        <v>39838.494444444441</v>
      </c>
      <c r="I962" t="str">
        <f ca="1">TEXT(TRUNC(47.65), "0" &amp; CHAR(176) &amp; " ") &amp; TEXT(INT((ABS(47.65)- INT(ABS(47.65)))*60), "0' ") &amp; TEXT(((((ABS(47.65)-INT(ABS(47.65)))*60)- INT((ABS(47.65) - INT(ABS(47.65)))*60))*60), " 0''")</f>
        <v>47°c c38  60</v>
      </c>
      <c r="J962" t="str">
        <f ca="1">TEXT(TRUNC(12.3166667), "0" &amp; CHAR(176) &amp; " ") &amp; TEXT(INT((ABS(12.3166667)- INT(ABS(12.3166667)))*60), "0' ") &amp; TEXT(((((ABS(12.3166667)-INT(ABS(12.3166667)))*60)- INT((ABS(12.3166667) - INT(ABS(12.3166667)))*60))*60), " 0''")</f>
        <v>12°c c19  0</v>
      </c>
    </row>
    <row r="963" spans="1:10">
      <c r="A963" t="s">
        <v>58</v>
      </c>
      <c r="B963" s="2">
        <v>3600</v>
      </c>
      <c r="C963" t="s">
        <v>24</v>
      </c>
      <c r="D963" t="s">
        <v>493</v>
      </c>
      <c r="E963" t="s">
        <v>1528</v>
      </c>
      <c r="F963" t="s">
        <v>57</v>
      </c>
      <c r="G963" t="s">
        <v>15</v>
      </c>
      <c r="H963" s="3">
        <v>39838.524305555555</v>
      </c>
      <c r="I963" t="str">
        <f ca="1">TEXT(TRUNC(38.40222), "0" &amp; CHAR(176) &amp; " ") &amp; TEXT(INT((ABS(38.40222)- INT(ABS(38.40222)))*60), "0' ") &amp; TEXT(((((ABS(38.40222)-INT(ABS(38.40222)))*60)- INT((ABS(38.40222) - INT(ABS(38.40222)))*60))*60), " 0''")</f>
        <v>38°c c24  8</v>
      </c>
      <c r="J963" t="str">
        <f ca="1">TEXT(TRUNC(-122.82278), "0" &amp; CHAR(176) &amp; " ") &amp; TEXT(INT((ABS(-122.82278)- INT(ABS(-122.82278)))*60), "0' ") &amp; TEXT(((((ABS(-122.82278)-INT(ABS(-122.82278)))*60)- INT((ABS(-122.82278) - INT(ABS(-122.82278)))*60))*60), " 0''")</f>
        <v>-122°c c49  22</v>
      </c>
    </row>
    <row r="964" spans="1:10">
      <c r="A964" t="s">
        <v>58</v>
      </c>
      <c r="B964" s="2">
        <v>3600</v>
      </c>
      <c r="C964" t="s">
        <v>24</v>
      </c>
      <c r="D964" t="s">
        <v>268</v>
      </c>
      <c r="E964" t="s">
        <v>537</v>
      </c>
      <c r="F964" t="s">
        <v>237</v>
      </c>
      <c r="G964" t="s">
        <v>75</v>
      </c>
      <c r="H964" s="3">
        <v>39838.576388888891</v>
      </c>
      <c r="I964" t="str">
        <f ca="1">TEXT(TRUNC(46.5333333), "0" &amp; CHAR(176) &amp; " ") &amp; TEXT(INT((ABS(46.5333333)- INT(ABS(46.5333333)))*60), "0' ") &amp; TEXT(((((ABS(46.5333333)-INT(ABS(46.5333333)))*60)- INT((ABS(46.5333333) - INT(ABS(46.5333333)))*60))*60), " 0''")</f>
        <v>46°c c31  60</v>
      </c>
      <c r="J964" t="str">
        <f ca="1">TEXT(TRUNC(6.6666667), "0" &amp; CHAR(176) &amp; " ") &amp; TEXT(INT((ABS(6.6666667)- INT(ABS(6.6666667)))*60), "0' ") &amp; TEXT(((((ABS(6.6666667)-INT(ABS(6.6666667)))*60)- INT((ABS(6.6666667) - INT(ABS(6.6666667)))*60))*60), " 0''")</f>
        <v>6°c c40  0</v>
      </c>
    </row>
    <row r="965" spans="1:10">
      <c r="A965" t="s">
        <v>58</v>
      </c>
      <c r="B965" s="2">
        <v>3600</v>
      </c>
      <c r="C965" t="s">
        <v>24</v>
      </c>
      <c r="D965" t="s">
        <v>1535</v>
      </c>
      <c r="E965" t="s">
        <v>1536</v>
      </c>
      <c r="F965" t="s">
        <v>553</v>
      </c>
      <c r="G965" t="s">
        <v>15</v>
      </c>
      <c r="H965" s="3">
        <v>39838.6375</v>
      </c>
      <c r="I965" t="str">
        <f ca="1">TEXT(TRUNC(57.05306), "0" &amp; CHAR(176) &amp; " ") &amp; TEXT(INT((ABS(57.05306)- INT(ABS(57.05306)))*60), "0' ") &amp; TEXT(((((ABS(57.05306)-INT(ABS(57.05306)))*60)- INT((ABS(57.05306) - INT(ABS(57.05306)))*60))*60), " 0''")</f>
        <v>57°c c3  11</v>
      </c>
      <c r="J965" t="str">
        <f ca="1">TEXT(TRUNC(-135.33), "0" &amp; CHAR(176) &amp; " ") &amp; TEXT(INT((ABS(-135.33)- INT(ABS(-135.33)))*60), "0' ") &amp; TEXT(((((ABS(-135.33)-INT(ABS(-135.33)))*60)- INT((ABS(-135.33) - INT(ABS(-135.33)))*60))*60), " 0''")</f>
        <v>-135°c c19  48</v>
      </c>
    </row>
    <row r="966" spans="1:10">
      <c r="A966" t="s">
        <v>58</v>
      </c>
      <c r="B966" s="2">
        <v>3600</v>
      </c>
      <c r="C966" t="s">
        <v>24</v>
      </c>
      <c r="D966" t="s">
        <v>1543</v>
      </c>
      <c r="E966" t="s">
        <v>1544</v>
      </c>
      <c r="F966" t="s">
        <v>400</v>
      </c>
      <c r="G966" t="s">
        <v>15</v>
      </c>
      <c r="H966" s="3">
        <v>39838.748611111114</v>
      </c>
      <c r="I966" t="str">
        <f ca="1">TEXT(TRUNC(42.27083), "0" &amp; CHAR(176) &amp; " ") &amp; TEXT(INT((ABS(42.27083)- INT(ABS(42.27083)))*60), "0' ") &amp; TEXT(((((ABS(42.27083)-INT(ABS(42.27083)))*60)- INT((ABS(42.27083) - INT(ABS(42.27083)))*60))*60), " 0''")</f>
        <v>42°c c16  15</v>
      </c>
      <c r="J966" t="str">
        <f ca="1">TEXT(TRUNC(-83.72639), "0" &amp; CHAR(176) &amp; " ") &amp; TEXT(INT((ABS(-83.72639)- INT(ABS(-83.72639)))*60), "0' ") &amp; TEXT(((((ABS(-83.72639)-INT(ABS(-83.72639)))*60)- INT((ABS(-83.72639) - INT(ABS(-83.72639)))*60))*60), " 0''")</f>
        <v>-83°c c43  35</v>
      </c>
    </row>
    <row r="967" spans="1:10">
      <c r="A967" t="s">
        <v>58</v>
      </c>
      <c r="B967" s="2">
        <v>3600</v>
      </c>
      <c r="C967" t="s">
        <v>24</v>
      </c>
      <c r="D967" t="s">
        <v>1557</v>
      </c>
      <c r="E967" t="s">
        <v>506</v>
      </c>
      <c r="F967" t="s">
        <v>507</v>
      </c>
      <c r="G967" t="s">
        <v>480</v>
      </c>
      <c r="H967" s="3">
        <v>39839.072222222225</v>
      </c>
      <c r="I967" t="str">
        <f ca="1">TEXT(TRUNC(50.8333333), "0" &amp; CHAR(176) &amp; " ") &amp; TEXT(INT((ABS(50.8333333)- INT(ABS(50.8333333)))*60), "0' ") &amp; TEXT(((((ABS(50.8333333)-INT(ABS(50.8333333)))*60)- INT((ABS(50.8333333) - INT(ABS(50.8333333)))*60))*60), " 0''")</f>
        <v>50°c c49  60</v>
      </c>
      <c r="J967" t="str">
        <f ca="1">TEXT(TRUNC(4.3333333), "0" &amp; CHAR(176) &amp; " ") &amp; TEXT(INT((ABS(4.3333333)- INT(ABS(4.3333333)))*60), "0' ") &amp; TEXT(((((ABS(4.3333333)-INT(ABS(4.3333333)))*60)- INT((ABS(4.3333333) - INT(ABS(4.3333333)))*60))*60), " 0''")</f>
        <v>4°c c19  60</v>
      </c>
    </row>
    <row r="968" spans="1:10">
      <c r="A968" t="s">
        <v>58</v>
      </c>
      <c r="B968" s="2">
        <v>3600</v>
      </c>
      <c r="C968" t="s">
        <v>11</v>
      </c>
      <c r="D968" t="s">
        <v>1560</v>
      </c>
      <c r="E968" t="s">
        <v>1561</v>
      </c>
      <c r="F968" t="s">
        <v>173</v>
      </c>
      <c r="G968" t="s">
        <v>174</v>
      </c>
      <c r="H968" s="3">
        <v>39839.15902777778</v>
      </c>
      <c r="I968" t="str">
        <f ca="1">TEXT(TRUNC(43.6333333), "0" &amp; CHAR(176) &amp; " ") &amp; TEXT(INT((ABS(43.6333333)- INT(ABS(43.6333333)))*60), "0' ") &amp; TEXT(((((ABS(43.6333333)-INT(ABS(43.6333333)))*60)- INT((ABS(43.6333333) - INT(ABS(43.6333333)))*60))*60), " 0''")</f>
        <v>43°c c37  60</v>
      </c>
      <c r="J968" t="str">
        <f ca="1">TEXT(TRUNC(7.1), "0" &amp; CHAR(176) &amp; " ") &amp; TEXT(INT((ABS(7.1)- INT(ABS(7.1)))*60), "0' ") &amp; TEXT(((((ABS(7.1)-INT(ABS(7.1)))*60)- INT((ABS(7.1) - INT(ABS(7.1)))*60))*60), " 0''")</f>
        <v>7°c c5  60</v>
      </c>
    </row>
    <row r="969" spans="1:10">
      <c r="A969" t="s">
        <v>58</v>
      </c>
      <c r="B969" s="2">
        <v>3600</v>
      </c>
      <c r="C969" t="s">
        <v>33</v>
      </c>
      <c r="D969" t="s">
        <v>1566</v>
      </c>
      <c r="E969" t="s">
        <v>1567</v>
      </c>
      <c r="F969" t="s">
        <v>193</v>
      </c>
      <c r="G969" t="s">
        <v>15</v>
      </c>
      <c r="H969" s="3">
        <v>39839.234722222223</v>
      </c>
      <c r="I969" t="str">
        <f ca="1">TEXT(TRUNC(40.69472), "0" &amp; CHAR(176) &amp; " ") &amp; TEXT(INT((ABS(40.69472)- INT(ABS(40.69472)))*60), "0' ") &amp; TEXT(((((ABS(40.69472)-INT(ABS(40.69472)))*60)- INT((ABS(40.69472) - INT(ABS(40.69472)))*60))*60), " 0''")</f>
        <v>40°c c41  41</v>
      </c>
      <c r="J969" t="str">
        <f ca="1">TEXT(TRUNC(-80.13111), "0" &amp; CHAR(176) &amp; " ") &amp; TEXT(INT((ABS(-80.13111)- INT(ABS(-80.13111)))*60), "0' ") &amp; TEXT(((((ABS(-80.13111)-INT(ABS(-80.13111)))*60)- INT((ABS(-80.13111) - INT(ABS(-80.13111)))*60))*60), " 0''")</f>
        <v>-80°c c7  52</v>
      </c>
    </row>
    <row r="970" spans="1:10">
      <c r="A970" t="s">
        <v>58</v>
      </c>
      <c r="B970" s="2">
        <v>3600</v>
      </c>
      <c r="C970" t="s">
        <v>11</v>
      </c>
      <c r="D970" t="s">
        <v>1585</v>
      </c>
      <c r="E970" t="s">
        <v>1586</v>
      </c>
      <c r="F970" t="s">
        <v>27</v>
      </c>
      <c r="G970" t="s">
        <v>15</v>
      </c>
      <c r="H970" s="3">
        <v>39839.518055555556</v>
      </c>
      <c r="I970" t="str">
        <f ca="1">TEXT(TRUNC(31.11694), "0" &amp; CHAR(176) &amp; " ") &amp; TEXT(INT((ABS(31.11694)- INT(ABS(31.11694)))*60), "0' ") &amp; TEXT(((((ABS(31.11694)-INT(ABS(31.11694)))*60)- INT((ABS(31.11694) - INT(ABS(31.11694)))*60))*60), " 0''")</f>
        <v>31°c c7  1</v>
      </c>
      <c r="J970" t="str">
        <f ca="1">TEXT(TRUNC(-97.7275), "0" &amp; CHAR(176) &amp; " ") &amp; TEXT(INT((ABS(-97.7275)- INT(ABS(-97.7275)))*60), "0' ") &amp; TEXT(((((ABS(-97.7275)-INT(ABS(-97.7275)))*60)- INT((ABS(-97.7275) - INT(ABS(-97.7275)))*60))*60), " 0''")</f>
        <v>-97°c c43  39</v>
      </c>
    </row>
    <row r="971" spans="1:10">
      <c r="A971" t="s">
        <v>58</v>
      </c>
      <c r="B971" s="2">
        <v>3600</v>
      </c>
      <c r="C971" t="s">
        <v>33</v>
      </c>
      <c r="D971" t="s">
        <v>1604</v>
      </c>
      <c r="E971" t="s">
        <v>1605</v>
      </c>
      <c r="F971" t="s">
        <v>1606</v>
      </c>
      <c r="G971" t="s">
        <v>1607</v>
      </c>
      <c r="H971" s="3">
        <v>39839.977777777778</v>
      </c>
      <c r="I971" t="str">
        <f ca="1">TEXT(TRUNC(55.6283333), "0" &amp; CHAR(176) &amp; " ") &amp; TEXT(INT((ABS(55.6283333)- INT(ABS(55.6283333)))*60), "0' ") &amp; TEXT(((((ABS(55.6283333)-INT(ABS(55.6283333)))*60)- INT((ABS(55.6283333) - INT(ABS(55.6283333)))*60))*60), " 0''")</f>
        <v>55°c c37  42</v>
      </c>
      <c r="J971" t="str">
        <f ca="1">TEXT(TRUNC(37.6608333), "0" &amp; CHAR(176) &amp; " ") &amp; TEXT(INT((ABS(37.6608333)- INT(ABS(37.6608333)))*60), "0' ") &amp; TEXT(((((ABS(37.6608333)-INT(ABS(37.6608333)))*60)- INT((ABS(37.6608333) - INT(ABS(37.6608333)))*60))*60), " 0''")</f>
        <v>37°c c39  39</v>
      </c>
    </row>
    <row r="972" spans="1:10">
      <c r="A972" t="s">
        <v>58</v>
      </c>
      <c r="B972" s="2">
        <v>3600</v>
      </c>
      <c r="C972" t="s">
        <v>24</v>
      </c>
      <c r="D972" t="s">
        <v>1615</v>
      </c>
      <c r="E972" t="s">
        <v>1616</v>
      </c>
      <c r="F972" t="s">
        <v>1616</v>
      </c>
      <c r="G972" t="s">
        <v>75</v>
      </c>
      <c r="H972" s="3">
        <v>39840.15625</v>
      </c>
      <c r="I972" t="str">
        <f ca="1">TEXT(TRUNC(46.9166667), "0" &amp; CHAR(176) &amp; " ") &amp; TEXT(INT((ABS(46.9166667)- INT(ABS(46.9166667)))*60), "0' ") &amp; TEXT(((((ABS(46.9166667)-INT(ABS(46.9166667)))*60)- INT((ABS(46.9166667) - INT(ABS(46.9166667)))*60))*60), " 0''")</f>
        <v>46°c c55  0</v>
      </c>
      <c r="J972" t="str">
        <f ca="1">TEXT(TRUNC(7.4666667), "0" &amp; CHAR(176) &amp; " ") &amp; TEXT(INT((ABS(7.4666667)- INT(ABS(7.4666667)))*60), "0' ") &amp; TEXT(((((ABS(7.4666667)-INT(ABS(7.4666667)))*60)- INT((ABS(7.4666667) - INT(ABS(7.4666667)))*60))*60), " 0''")</f>
        <v>7°c c28  0</v>
      </c>
    </row>
    <row r="973" spans="1:10">
      <c r="A973" t="s">
        <v>58</v>
      </c>
      <c r="B973" s="2">
        <v>3600</v>
      </c>
      <c r="C973" t="s">
        <v>33</v>
      </c>
      <c r="D973" t="s">
        <v>990</v>
      </c>
      <c r="E973" t="s">
        <v>1071</v>
      </c>
      <c r="F973" t="s">
        <v>57</v>
      </c>
      <c r="G973" t="s">
        <v>15</v>
      </c>
      <c r="H973" s="3">
        <v>39840.470833333333</v>
      </c>
      <c r="I973" t="str">
        <f ca="1">TEXT(TRUNC(34.05222), "0" &amp; CHAR(176) &amp; " ") &amp; TEXT(INT((ABS(34.05222)- INT(ABS(34.05222)))*60), "0' ") &amp; TEXT(((((ABS(34.05222)-INT(ABS(34.05222)))*60)- INT((ABS(34.05222) - INT(ABS(34.05222)))*60))*60), " 0''")</f>
        <v>34°c c3  8</v>
      </c>
      <c r="J973" t="str">
        <f ca="1">TEXT(TRUNC(-118.24278), "0" &amp; CHAR(176) &amp; " ") &amp; TEXT(INT((ABS(-118.24278)- INT(ABS(-118.24278)))*60), "0' ") &amp; TEXT(((((ABS(-118.24278)-INT(ABS(-118.24278)))*60)- INT((ABS(-118.24278) - INT(ABS(-118.24278)))*60))*60), " 0''")</f>
        <v>-118°c c14  34</v>
      </c>
    </row>
    <row r="974" spans="1:10">
      <c r="A974" t="s">
        <v>58</v>
      </c>
      <c r="B974" s="2">
        <v>3600</v>
      </c>
      <c r="C974" t="s">
        <v>11</v>
      </c>
      <c r="D974" t="s">
        <v>1633</v>
      </c>
      <c r="E974" t="s">
        <v>413</v>
      </c>
      <c r="F974" t="s">
        <v>152</v>
      </c>
      <c r="G974" t="s">
        <v>15</v>
      </c>
      <c r="H974" s="3">
        <v>39840.6125</v>
      </c>
      <c r="I974" t="str">
        <f ca="1">TEXT(TRUNC(38.89028), "0" &amp; CHAR(176) &amp; " ") &amp; TEXT(INT((ABS(38.89028)- INT(ABS(38.89028)))*60), "0' ") &amp; TEXT(((((ABS(38.89028)-INT(ABS(38.89028)))*60)- INT((ABS(38.89028) - INT(ABS(38.89028)))*60))*60), " 0''")</f>
        <v>38°c c53  25</v>
      </c>
      <c r="J974" t="str">
        <f ca="1">TEXT(TRUNC(-77.08444), "0" &amp; CHAR(176) &amp; " ") &amp; TEXT(INT((ABS(-77.08444)- INT(ABS(-77.08444)))*60), "0' ") &amp; TEXT(((((ABS(-77.08444)-INT(ABS(-77.08444)))*60)- INT((ABS(-77.08444) - INT(ABS(-77.08444)))*60))*60), " 0''")</f>
        <v>-77°c c5  4</v>
      </c>
    </row>
    <row r="975" spans="1:10">
      <c r="A975" t="s">
        <v>58</v>
      </c>
      <c r="B975" s="2">
        <v>3600</v>
      </c>
      <c r="C975" t="s">
        <v>24</v>
      </c>
      <c r="D975" t="s">
        <v>530</v>
      </c>
      <c r="E975" t="s">
        <v>1653</v>
      </c>
      <c r="F975" t="s">
        <v>1653</v>
      </c>
      <c r="G975" t="s">
        <v>1654</v>
      </c>
      <c r="H975" s="3">
        <v>39841.23333333333</v>
      </c>
      <c r="I975" t="str">
        <f ca="1">TEXT(TRUNC(-20.3602778), "0" &amp; CHAR(176) &amp; " ") &amp; TEXT(INT((ABS(-20.3602778)- INT(ABS(-20.3602778)))*60), "0' ") &amp; TEXT(((((ABS(-20.3602778)-INT(ABS(-20.3602778)))*60)- INT((ABS(-20.3602778) - INT(ABS(-20.3602778)))*60))*60), " 0''")</f>
        <v>-20°c c21  37</v>
      </c>
      <c r="J975" t="str">
        <f ca="1">TEXT(TRUNC(57.3661111), "0" &amp; CHAR(176) &amp; " ") &amp; TEXT(INT((ABS(57.3661111)- INT(ABS(57.3661111)))*60), "0' ") &amp; TEXT(((((ABS(57.3661111)-INT(ABS(57.3661111)))*60)- INT((ABS(57.3661111) - INT(ABS(57.3661111)))*60))*60), " 0''")</f>
        <v>57°c c21  58</v>
      </c>
    </row>
    <row r="976" spans="1:10">
      <c r="A976" t="s">
        <v>58</v>
      </c>
      <c r="B976" s="2">
        <v>3600</v>
      </c>
      <c r="C976" t="s">
        <v>11</v>
      </c>
      <c r="D976" t="s">
        <v>1673</v>
      </c>
      <c r="E976" t="s">
        <v>251</v>
      </c>
      <c r="F976" t="s">
        <v>252</v>
      </c>
      <c r="G976" t="s">
        <v>81</v>
      </c>
      <c r="H976" s="3">
        <v>39841.5375</v>
      </c>
      <c r="I976" t="str">
        <f ca="1">TEXT(TRUNC(49.25), "0" &amp; CHAR(176) &amp; " ") &amp; TEXT(INT((ABS(49.25)- INT(ABS(49.25)))*60), "0' ") &amp; TEXT(((((ABS(49.25)-INT(ABS(49.25)))*60)- INT((ABS(49.25) - INT(ABS(49.25)))*60))*60), " 0''")</f>
        <v>49°c c15  0</v>
      </c>
      <c r="J976" t="str">
        <f ca="1">TEXT(TRUNC(-123.1333333), "0" &amp; CHAR(176) &amp; " ") &amp; TEXT(INT((ABS(-123.1333333)- INT(ABS(-123.1333333)))*60), "0' ") &amp; TEXT(((((ABS(-123.1333333)-INT(ABS(-123.1333333)))*60)- INT((ABS(-123.1333333) - INT(ABS(-123.1333333)))*60))*60), " 0''")</f>
        <v>-123°c c7  60</v>
      </c>
    </row>
    <row r="977" spans="1:10">
      <c r="A977" t="s">
        <v>58</v>
      </c>
      <c r="B977" s="2">
        <v>3600</v>
      </c>
      <c r="C977" t="s">
        <v>33</v>
      </c>
      <c r="D977" t="s">
        <v>366</v>
      </c>
      <c r="E977" t="s">
        <v>484</v>
      </c>
      <c r="F977" t="s">
        <v>80</v>
      </c>
      <c r="G977" t="s">
        <v>81</v>
      </c>
      <c r="H977" s="3">
        <v>39841.54375</v>
      </c>
      <c r="I977" t="str">
        <f ca="1">TEXT(TRUNC(50.7166667), "0" &amp; CHAR(176) &amp; " ") &amp; TEXT(INT((ABS(50.7166667)- INT(ABS(50.7166667)))*60), "0' ") &amp; TEXT(((((ABS(50.7166667)-INT(ABS(50.7166667)))*60)- INT((ABS(50.7166667) - INT(ABS(50.7166667)))*60))*60), " 0''")</f>
        <v>50°c c43  0</v>
      </c>
      <c r="J977" t="str">
        <f ca="1">TEXT(TRUNC(-113.9666667), "0" &amp; CHAR(176) &amp; " ") &amp; TEXT(INT((ABS(-113.9666667)- INT(ABS(-113.9666667)))*60), "0' ") &amp; TEXT(((((ABS(-113.9666667)-INT(ABS(-113.9666667)))*60)- INT((ABS(-113.9666667) - INT(ABS(-113.9666667)))*60))*60), " 0''")</f>
        <v>-113°c c58  0</v>
      </c>
    </row>
    <row r="978" spans="1:10">
      <c r="A978" t="s">
        <v>58</v>
      </c>
      <c r="B978" s="2">
        <v>3600</v>
      </c>
      <c r="C978" t="s">
        <v>24</v>
      </c>
      <c r="D978" t="s">
        <v>957</v>
      </c>
      <c r="E978" t="s">
        <v>1321</v>
      </c>
      <c r="F978" t="s">
        <v>1701</v>
      </c>
      <c r="G978" t="s">
        <v>280</v>
      </c>
      <c r="H978" s="3">
        <v>39842.352083333331</v>
      </c>
      <c r="I978" t="str">
        <f ca="1">TEXT(TRUNC(50.0833333), "0" &amp; CHAR(176) &amp; " ") &amp; TEXT(INT((ABS(50.0833333)- INT(ABS(50.0833333)))*60), "0' ") &amp; TEXT(((((ABS(50.0833333)-INT(ABS(50.0833333)))*60)- INT((ABS(50.0833333) - INT(ABS(50.0833333)))*60))*60), " 0''")</f>
        <v>50°c c4  60</v>
      </c>
      <c r="J978" t="str">
        <f ca="1">TEXT(TRUNC(14.4666667), "0" &amp; CHAR(176) &amp; " ") &amp; TEXT(INT((ABS(14.4666667)- INT(ABS(14.4666667)))*60), "0' ") &amp; TEXT(((((ABS(14.4666667)-INT(ABS(14.4666667)))*60)- INT((ABS(14.4666667) - INT(ABS(14.4666667)))*60))*60), " 0''")</f>
        <v>14°c c28  0</v>
      </c>
    </row>
    <row r="979" spans="1:10">
      <c r="A979" t="s">
        <v>58</v>
      </c>
      <c r="B979" s="2">
        <v>3600</v>
      </c>
      <c r="C979" t="s">
        <v>11</v>
      </c>
      <c r="D979" t="s">
        <v>1704</v>
      </c>
      <c r="E979" t="s">
        <v>328</v>
      </c>
      <c r="F979" t="s">
        <v>228</v>
      </c>
      <c r="G979" t="s">
        <v>15</v>
      </c>
      <c r="H979" s="3">
        <v>39842.42291666667</v>
      </c>
      <c r="I979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979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980" spans="1:10">
      <c r="A980" t="s">
        <v>58</v>
      </c>
      <c r="B980" s="2">
        <v>3600</v>
      </c>
      <c r="C980" t="s">
        <v>11</v>
      </c>
      <c r="D980" t="s">
        <v>968</v>
      </c>
      <c r="E980" t="s">
        <v>1730</v>
      </c>
      <c r="F980" t="s">
        <v>1731</v>
      </c>
      <c r="G980" t="s">
        <v>75</v>
      </c>
      <c r="H980" s="3">
        <v>39843.2625</v>
      </c>
      <c r="I980" t="str">
        <f ca="1">TEXT(TRUNC(47.4166667), "0" &amp; CHAR(176) &amp; " ") &amp; TEXT(INT((ABS(47.4166667)- INT(ABS(47.4166667)))*60), "0' ") &amp; TEXT(((((ABS(47.4166667)-INT(ABS(47.4166667)))*60)- INT((ABS(47.4166667) - INT(ABS(47.4166667)))*60))*60), " 0''")</f>
        <v>47°c c25  0</v>
      </c>
      <c r="J980" t="str">
        <f ca="1">TEXT(TRUNC(9.6), "0" &amp; CHAR(176) &amp; " ") &amp; TEXT(INT((ABS(9.6)- INT(ABS(9.6)))*60), "0' ") &amp; TEXT(((((ABS(9.6)-INT(ABS(9.6)))*60)- INT((ABS(9.6) - INT(ABS(9.6)))*60))*60), " 0''")</f>
        <v>9°c c36  0</v>
      </c>
    </row>
    <row r="981" spans="1:10">
      <c r="A981" t="s">
        <v>58</v>
      </c>
      <c r="B981" s="2">
        <v>3600</v>
      </c>
      <c r="C981" t="s">
        <v>11</v>
      </c>
      <c r="D981" t="s">
        <v>1746</v>
      </c>
      <c r="E981" t="s">
        <v>1747</v>
      </c>
      <c r="F981" t="s">
        <v>1748</v>
      </c>
      <c r="G981" t="s">
        <v>81</v>
      </c>
      <c r="H981" s="3">
        <v>39843.873611111114</v>
      </c>
      <c r="I981" t="str">
        <f ca="1">TEXT(TRUNC(60.1833333), "0" &amp; CHAR(176) &amp; " ") &amp; TEXT(INT((ABS(60.1833333)- INT(ABS(60.1833333)))*60), "0' ") &amp; TEXT(((((ABS(60.1833333)-INT(ABS(60.1833333)))*60)- INT((ABS(60.1833333) - INT(ABS(60.1833333)))*60))*60), " 0''")</f>
        <v>60°c c10  60</v>
      </c>
      <c r="J981" t="str">
        <f ca="1">TEXT(TRUNC(-134.7166667), "0" &amp; CHAR(176) &amp; " ") &amp; TEXT(INT((ABS(-134.7166667)- INT(ABS(-134.7166667)))*60), "0' ") &amp; TEXT(((((ABS(-134.7166667)-INT(ABS(-134.7166667)))*60)- INT((ABS(-134.7166667) - INT(ABS(-134.7166667)))*60))*60), " 0''")</f>
        <v>-134°c c43  0</v>
      </c>
    </row>
    <row r="982" spans="1:10">
      <c r="A982" t="s">
        <v>58</v>
      </c>
      <c r="B982" s="2">
        <v>3600</v>
      </c>
      <c r="C982" t="s">
        <v>24</v>
      </c>
      <c r="D982" t="s">
        <v>432</v>
      </c>
      <c r="E982" t="s">
        <v>1749</v>
      </c>
      <c r="F982" t="s">
        <v>30</v>
      </c>
      <c r="G982" t="s">
        <v>31</v>
      </c>
      <c r="H982" s="3">
        <v>39843.992361111108</v>
      </c>
      <c r="I982" t="str">
        <f ca="1">TEXT(TRUNC(52.2333333), "0" &amp; CHAR(176) &amp; " ") &amp; TEXT(INT((ABS(52.2333333)- INT(ABS(52.2333333)))*60), "0' ") &amp; TEXT(((((ABS(52.2333333)-INT(ABS(52.2333333)))*60)- INT((ABS(52.2333333) - INT(ABS(52.2333333)))*60))*60), " 0''")</f>
        <v>52°c c13  60</v>
      </c>
      <c r="J982" t="str">
        <f ca="1">TEXT(TRUNC(5.1833333), "0" &amp; CHAR(176) &amp; " ") &amp; TEXT(INT((ABS(5.1833333)- INT(ABS(5.1833333)))*60), "0' ") &amp; TEXT(((((ABS(5.1833333)-INT(ABS(5.1833333)))*60)- INT((ABS(5.1833333) - INT(ABS(5.1833333)))*60))*60), " 0''")</f>
        <v>5°c c10  60</v>
      </c>
    </row>
    <row r="983" spans="1:10">
      <c r="A983" t="s">
        <v>58</v>
      </c>
      <c r="B983" s="2">
        <v>3600</v>
      </c>
      <c r="C983" t="s">
        <v>11</v>
      </c>
      <c r="D983" t="s">
        <v>1753</v>
      </c>
      <c r="E983" t="s">
        <v>682</v>
      </c>
      <c r="F983" t="s">
        <v>90</v>
      </c>
      <c r="G983" t="s">
        <v>15</v>
      </c>
      <c r="H983" s="3">
        <v>39844.23541666667</v>
      </c>
      <c r="I983" t="str">
        <f ca="1">TEXT(TRUNC(39.51639), "0" &amp; CHAR(176) &amp; " ") &amp; TEXT(INT((ABS(39.51639)- INT(ABS(39.51639)))*60), "0' ") &amp; TEXT(((((ABS(39.51639)-INT(ABS(39.51639)))*60)- INT((ABS(39.51639) - INT(ABS(39.51639)))*60))*60), " 0''")</f>
        <v>39°c c30  59</v>
      </c>
      <c r="J983" t="str">
        <f ca="1">TEXT(TRUNC(-76.61639), "0" &amp; CHAR(176) &amp; " ") &amp; TEXT(INT((ABS(-76.61639)- INT(ABS(-76.61639)))*60), "0' ") &amp; TEXT(((((ABS(-76.61639)-INT(ABS(-76.61639)))*60)- INT((ABS(-76.61639) - INT(ABS(-76.61639)))*60))*60), " 0''")</f>
        <v>-76°c c36  59</v>
      </c>
    </row>
    <row r="984" spans="1:10">
      <c r="A984" t="s">
        <v>58</v>
      </c>
      <c r="B984" s="2">
        <v>3600</v>
      </c>
      <c r="C984" t="s">
        <v>11</v>
      </c>
      <c r="D984" t="s">
        <v>1761</v>
      </c>
      <c r="E984" t="s">
        <v>328</v>
      </c>
      <c r="F984" t="s">
        <v>228</v>
      </c>
      <c r="G984" t="s">
        <v>15</v>
      </c>
      <c r="H984" s="3">
        <v>39844.468055555553</v>
      </c>
      <c r="I984" t="str">
        <f ca="1">TEXT(TRUNC(33.50917), "0" &amp; CHAR(176) &amp; " ") &amp; TEXT(INT((ABS(33.50917)- INT(ABS(33.50917)))*60), "0' ") &amp; TEXT(((((ABS(33.50917)-INT(ABS(33.50917)))*60)- INT((ABS(33.50917) - INT(ABS(33.50917)))*60))*60), " 0''")</f>
        <v>33°c c30  33</v>
      </c>
      <c r="J984" t="str">
        <f ca="1">TEXT(TRUNC(-111.89833), "0" &amp; CHAR(176) &amp; " ") &amp; TEXT(INT((ABS(-111.89833)- INT(ABS(-111.89833)))*60), "0' ") &amp; TEXT(((((ABS(-111.89833)-INT(ABS(-111.89833)))*60)- INT((ABS(-111.89833) - INT(ABS(-111.89833)))*60))*60), " 0''")</f>
        <v>-111°c c53  54</v>
      </c>
    </row>
    <row r="985" spans="1:10">
      <c r="A985" t="s">
        <v>32</v>
      </c>
      <c r="B985" s="2">
        <v>7500</v>
      </c>
      <c r="C985" t="s">
        <v>33</v>
      </c>
      <c r="D985" t="s">
        <v>34</v>
      </c>
      <c r="E985" t="s">
        <v>35</v>
      </c>
      <c r="F985" t="s">
        <v>14</v>
      </c>
      <c r="G985" t="s">
        <v>15</v>
      </c>
      <c r="H985" s="3">
        <v>39814.183333333334</v>
      </c>
      <c r="I985" t="str">
        <f ca="1">TEXT(TRUNC(42.94694), "0" &amp; CHAR(176) &amp; " ") &amp; TEXT(INT((ABS(42.94694)- INT(ABS(42.94694)))*60), "0' ") &amp; TEXT(((((ABS(42.94694)-INT(ABS(42.94694)))*60)- INT((ABS(42.94694) - INT(ABS(42.94694)))*60))*60), " 0''")</f>
        <v>42°c c56  49</v>
      </c>
      <c r="J985" t="str">
        <f ca="1">TEXT(TRUNC(-76.42944), "0" &amp; CHAR(176) &amp; " ") &amp; TEXT(INT((ABS(-76.42944)- INT(ABS(-76.42944)))*60), "0' ") &amp; TEXT(((((ABS(-76.42944)-INT(ABS(-76.42944)))*60)- INT((ABS(-76.42944) - INT(ABS(-76.42944)))*60))*60), " 0''")</f>
        <v>-76°c c25  46</v>
      </c>
    </row>
    <row r="986" spans="1:10">
      <c r="A986" t="s">
        <v>32</v>
      </c>
      <c r="B986" s="2">
        <v>7500</v>
      </c>
      <c r="C986" t="s">
        <v>24</v>
      </c>
      <c r="D986" t="s">
        <v>363</v>
      </c>
      <c r="E986" t="s">
        <v>364</v>
      </c>
      <c r="F986" t="s">
        <v>365</v>
      </c>
      <c r="G986" t="s">
        <v>174</v>
      </c>
      <c r="H986" s="3">
        <v>39818.122916666667</v>
      </c>
      <c r="I986" t="str">
        <f ca="1">TEXT(TRUNC(48.0833333), "0" &amp; CHAR(176) &amp; " ") &amp; TEXT(INT((ABS(48.0833333)- INT(ABS(48.0833333)))*60), "0' ") &amp; TEXT(((((ABS(48.0833333)-INT(ABS(48.0833333)))*60)- INT((ABS(48.0833333) - INT(ABS(48.0833333)))*60))*60), " 0''")</f>
        <v>48°c c4  60</v>
      </c>
      <c r="J986" t="str">
        <f ca="1">TEXT(TRUNC(-1.6833333), "0" &amp; CHAR(176) &amp; " ") &amp; TEXT(INT((ABS(-1.6833333)- INT(ABS(-1.6833333)))*60), "0' ") &amp; TEXT(((((ABS(-1.6833333)-INT(ABS(-1.6833333)))*60)- INT((ABS(-1.6833333) - INT(ABS(-1.6833333)))*60))*60), " 0''")</f>
        <v>-1°c c40  60</v>
      </c>
    </row>
    <row r="987" spans="1:10">
      <c r="A987" t="s">
        <v>32</v>
      </c>
      <c r="B987" s="2">
        <v>7500</v>
      </c>
      <c r="C987" t="s">
        <v>24</v>
      </c>
      <c r="D987" t="s">
        <v>805</v>
      </c>
      <c r="E987" t="s">
        <v>806</v>
      </c>
      <c r="F987" t="s">
        <v>197</v>
      </c>
      <c r="G987" t="s">
        <v>15</v>
      </c>
      <c r="H987" s="3">
        <v>39824.186805555553</v>
      </c>
      <c r="I987" t="str">
        <f ca="1">TEXT(TRUNC(35.96056), "0" &amp; CHAR(176) &amp; " ") &amp; TEXT(INT((ABS(35.96056)- INT(ABS(35.96056)))*60), "0' ") &amp; TEXT(((((ABS(35.96056)-INT(ABS(35.96056)))*60)- INT((ABS(35.96056) - INT(ABS(35.96056)))*60))*60), " 0''")</f>
        <v>35°c c57  38</v>
      </c>
      <c r="J987" t="str">
        <f ca="1">TEXT(TRUNC(-83.92083), "0" &amp; CHAR(176) &amp; " ") &amp; TEXT(INT((ABS(-83.92083)- INT(ABS(-83.92083)))*60), "0' ") &amp; TEXT(((((ABS(-83.92083)-INT(ABS(-83.92083)))*60)- INT((ABS(-83.92083) - INT(ABS(-83.92083)))*60))*60), " 0''")</f>
        <v>-83°c c55  15</v>
      </c>
    </row>
    <row r="988" spans="1:10">
      <c r="A988" t="s">
        <v>32</v>
      </c>
      <c r="B988" s="2">
        <v>7500</v>
      </c>
      <c r="C988" t="s">
        <v>11</v>
      </c>
      <c r="D988" t="s">
        <v>872</v>
      </c>
      <c r="E988" t="s">
        <v>269</v>
      </c>
      <c r="F988" t="s">
        <v>270</v>
      </c>
      <c r="G988" t="s">
        <v>31</v>
      </c>
      <c r="H988" s="3">
        <v>39825.243055555555</v>
      </c>
      <c r="I988" t="str">
        <f ca="1">TEXT(TRUNC(52.0833333), "0" &amp; CHAR(176) &amp; " ") &amp; TEXT(INT((ABS(52.0833333)- INT(ABS(52.0833333)))*60), "0' ") &amp; TEXT(((((ABS(52.0833333)-INT(ABS(52.0833333)))*60)- INT((ABS(52.0833333) - INT(ABS(52.0833333)))*60))*60), " 0''")</f>
        <v>52°c c4  60</v>
      </c>
      <c r="J988" t="str">
        <f ca="1">TEXT(TRUNC(4.3), "0" &amp; CHAR(176) &amp; " ") &amp; TEXT(INT((ABS(4.3)- INT(ABS(4.3)))*60), "0' ") &amp; TEXT(((((ABS(4.3)-INT(ABS(4.3)))*60)- INT((ABS(4.3) - INT(ABS(4.3)))*60))*60), " 0''")</f>
        <v>4°c c18  0</v>
      </c>
    </row>
    <row r="989" spans="1:10">
      <c r="A989" t="s">
        <v>32</v>
      </c>
      <c r="B989" s="2">
        <v>7500</v>
      </c>
      <c r="C989" t="s">
        <v>11</v>
      </c>
      <c r="D989" t="s">
        <v>1011</v>
      </c>
      <c r="E989" t="s">
        <v>1012</v>
      </c>
      <c r="F989" t="s">
        <v>1013</v>
      </c>
      <c r="G989" t="s">
        <v>1014</v>
      </c>
      <c r="H989" s="3">
        <v>39827.438888888886</v>
      </c>
      <c r="I989" t="str">
        <f ca="1">TEXT(TRUNC(-22.9), "0" &amp; CHAR(176) &amp; " ") &amp; TEXT(INT((ABS(-22.9)- INT(ABS(-22.9)))*60), "0' ") &amp; TEXT(((((ABS(-22.9)-INT(ABS(-22.9)))*60)- INT((ABS(-22.9) - INT(ABS(-22.9)))*60))*60), " 0''")</f>
        <v>-22°c c53  60</v>
      </c>
      <c r="J989" t="str">
        <f ca="1">TEXT(TRUNC(-47.0833333), "0" &amp; CHAR(176) &amp; " ") &amp; TEXT(INT((ABS(-47.0833333)- INT(ABS(-47.0833333)))*60), "0' ") &amp; TEXT(((((ABS(-47.0833333)-INT(ABS(-47.0833333)))*60)- INT((ABS(-47.0833333) - INT(ABS(-47.0833333)))*60))*60), " 0''")</f>
        <v>-47°c c4  60</v>
      </c>
    </row>
    <row r="990" spans="1:10">
      <c r="A990" t="s">
        <v>32</v>
      </c>
      <c r="B990" s="2">
        <v>7500</v>
      </c>
      <c r="C990" t="s">
        <v>24</v>
      </c>
      <c r="D990" t="s">
        <v>650</v>
      </c>
      <c r="E990" t="s">
        <v>1054</v>
      </c>
      <c r="F990" t="s">
        <v>719</v>
      </c>
      <c r="G990" t="s">
        <v>15</v>
      </c>
      <c r="H990" s="3">
        <v>39828.427777777775</v>
      </c>
      <c r="I990" t="str">
        <f ca="1">TEXT(TRUNC(34.96167), "0" &amp; CHAR(176) &amp; " ") &amp; TEXT(INT((ABS(34.96167)- INT(ABS(34.96167)))*60), "0' ") &amp; TEXT(((((ABS(34.96167)-INT(ABS(34.96167)))*60)- INT((ABS(34.96167) - INT(ABS(34.96167)))*60))*60), " 0''")</f>
        <v>34°c c57  42</v>
      </c>
      <c r="J990" t="str">
        <f ca="1">TEXT(TRUNC(-89.82944), "0" &amp; CHAR(176) &amp; " ") &amp; TEXT(INT((ABS(-89.82944)- INT(ABS(-89.82944)))*60), "0' ") &amp; TEXT(((((ABS(-89.82944)-INT(ABS(-89.82944)))*60)- INT((ABS(-89.82944) - INT(ABS(-89.82944)))*60))*60), " 0''")</f>
        <v>-89°c c49  46</v>
      </c>
    </row>
    <row r="991" spans="1:10">
      <c r="A991" t="s">
        <v>32</v>
      </c>
      <c r="B991" s="2">
        <v>7500</v>
      </c>
      <c r="C991" t="s">
        <v>24</v>
      </c>
      <c r="D991" t="s">
        <v>1081</v>
      </c>
      <c r="E991" t="s">
        <v>1082</v>
      </c>
      <c r="F991" t="s">
        <v>140</v>
      </c>
      <c r="G991" t="s">
        <v>15</v>
      </c>
      <c r="H991" s="3">
        <v>39829.111805555556</v>
      </c>
      <c r="I991" t="str">
        <f ca="1">TEXT(TRUNC(40.66), "0" &amp; CHAR(176) &amp; " ") &amp; TEXT(INT((ABS(40.66)- INT(ABS(40.66)))*60), "0' ") &amp; TEXT(((((ABS(40.66)-INT(ABS(40.66)))*60)- INT((ABS(40.66) - INT(ABS(40.66)))*60))*60), " 0''")</f>
        <v>40°c c39  36</v>
      </c>
      <c r="J991" t="str">
        <f ca="1">TEXT(TRUNC(-111.99556), "0" &amp; CHAR(176) &amp; " ") &amp; TEXT(INT((ABS(-111.99556)- INT(ABS(-111.99556)))*60), "0' ") &amp; TEXT(((((ABS(-111.99556)-INT(ABS(-111.99556)))*60)- INT((ABS(-111.99556) - INT(ABS(-111.99556)))*60))*60), " 0''")</f>
        <v>-111°c c59  44</v>
      </c>
    </row>
    <row r="992" spans="1:10">
      <c r="A992" t="s">
        <v>32</v>
      </c>
      <c r="B992" s="2">
        <v>7500</v>
      </c>
      <c r="C992" t="s">
        <v>50</v>
      </c>
      <c r="D992" t="s">
        <v>1128</v>
      </c>
      <c r="E992" t="s">
        <v>1129</v>
      </c>
      <c r="F992" t="s">
        <v>1130</v>
      </c>
      <c r="G992" t="s">
        <v>42</v>
      </c>
      <c r="H992" s="3">
        <v>39830.330555555556</v>
      </c>
      <c r="I992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992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993" spans="1:10">
      <c r="A993" t="s">
        <v>32</v>
      </c>
      <c r="B993" s="2">
        <v>7500</v>
      </c>
      <c r="C993" t="s">
        <v>50</v>
      </c>
      <c r="D993" t="s">
        <v>1131</v>
      </c>
      <c r="E993" t="s">
        <v>1129</v>
      </c>
      <c r="F993" t="s">
        <v>1130</v>
      </c>
      <c r="G993" t="s">
        <v>42</v>
      </c>
      <c r="H993" s="3">
        <v>39830.331944444442</v>
      </c>
      <c r="I993" t="str">
        <f ca="1">TEXT(TRUNC(38.4666667), "0" &amp; CHAR(176) &amp; " ") &amp; TEXT(INT((ABS(38.4666667)- INT(ABS(38.4666667)))*60), "0' ") &amp; TEXT(((((ABS(38.4666667)-INT(ABS(38.4666667)))*60)- INT((ABS(38.4666667) - INT(ABS(38.4666667)))*60))*60), " 0''")</f>
        <v>38°c c28  0</v>
      </c>
      <c r="J993" t="str">
        <f ca="1">TEXT(TRUNC(14.95), "0" &amp; CHAR(176) &amp; " ") &amp; TEXT(INT((ABS(14.95)- INT(ABS(14.95)))*60), "0' ") &amp; TEXT(((((ABS(14.95)-INT(ABS(14.95)))*60)- INT((ABS(14.95) - INT(ABS(14.95)))*60))*60), " 0''")</f>
        <v>14°c c56  60</v>
      </c>
    </row>
    <row r="994" spans="1:10">
      <c r="A994" t="s">
        <v>32</v>
      </c>
      <c r="B994" s="2">
        <v>7500</v>
      </c>
      <c r="C994" t="s">
        <v>11</v>
      </c>
      <c r="D994" t="s">
        <v>1198</v>
      </c>
      <c r="E994" t="s">
        <v>1199</v>
      </c>
      <c r="F994" t="s">
        <v>264</v>
      </c>
      <c r="G994" t="s">
        <v>65</v>
      </c>
      <c r="H994" s="3">
        <v>39831.55972222222</v>
      </c>
      <c r="I994" t="str">
        <f ca="1">TEXT(TRUNC(53.6527778), "0" &amp; CHAR(176) &amp; " ") &amp; TEXT(INT((ABS(53.6527778)- INT(ABS(53.6527778)))*60), "0' ") &amp; TEXT(((((ABS(53.6527778)-INT(ABS(53.6527778)))*60)- INT((ABS(53.6527778) - INT(ABS(53.6527778)))*60))*60), " 0''")</f>
        <v>53°c c39  10</v>
      </c>
      <c r="J994" t="str">
        <f ca="1">TEXT(TRUNC(-6.6813889), "0" &amp; CHAR(176) &amp; " ") &amp; TEXT(INT((ABS(-6.6813889)- INT(ABS(-6.6813889)))*60), "0' ") &amp; TEXT(((((ABS(-6.6813889)-INT(ABS(-6.6813889)))*60)- INT((ABS(-6.6813889) - INT(ABS(-6.6813889)))*60))*60), " 0''")</f>
        <v>-6°c c40  53</v>
      </c>
    </row>
    <row r="995" spans="1:10">
      <c r="A995" t="s">
        <v>32</v>
      </c>
      <c r="B995" s="2">
        <v>7500</v>
      </c>
      <c r="C995" t="s">
        <v>24</v>
      </c>
      <c r="D995" t="s">
        <v>1391</v>
      </c>
      <c r="E995" t="s">
        <v>1392</v>
      </c>
      <c r="F995" t="s">
        <v>57</v>
      </c>
      <c r="G995" t="s">
        <v>15</v>
      </c>
      <c r="H995" s="3">
        <v>39835.53125</v>
      </c>
      <c r="I995" t="str">
        <f ca="1">TEXT(TRUNC(33.21833), "0" &amp; CHAR(176) &amp; " ") &amp; TEXT(INT((ABS(33.21833)- INT(ABS(33.21833)))*60), "0' ") &amp; TEXT(((((ABS(33.21833)-INT(ABS(33.21833)))*60)- INT((ABS(33.21833) - INT(ABS(33.21833)))*60))*60), " 0''")</f>
        <v>33°c c13  6</v>
      </c>
      <c r="J995" t="str">
        <f ca="1">TEXT(TRUNC(-117.03333), "0" &amp; CHAR(176) &amp; " ") &amp; TEXT(INT((ABS(-117.03333)- INT(ABS(-117.03333)))*60), "0' ") &amp; TEXT(((((ABS(-117.03333)-INT(ABS(-117.03333)))*60)- INT((ABS(-117.03333) - INT(ABS(-117.03333)))*60))*60), " 0''")</f>
        <v>-117°c c1  60</v>
      </c>
    </row>
    <row r="996" spans="1:10">
      <c r="A996" t="s">
        <v>32</v>
      </c>
      <c r="B996" s="2">
        <v>7500</v>
      </c>
      <c r="C996" t="s">
        <v>24</v>
      </c>
      <c r="D996" t="s">
        <v>990</v>
      </c>
      <c r="E996" t="s">
        <v>1503</v>
      </c>
      <c r="F996" t="s">
        <v>1100</v>
      </c>
      <c r="G996" t="s">
        <v>370</v>
      </c>
      <c r="H996" s="3">
        <v>39838.078472222223</v>
      </c>
      <c r="I996" t="str">
        <f ca="1">TEXT(TRUNC(-29.6166667), "0" &amp; CHAR(176) &amp; " ") &amp; TEXT(INT((ABS(-29.6166667)- INT(ABS(-29.6166667)))*60), "0' ") &amp; TEXT(((((ABS(-29.6166667)-INT(ABS(-29.6166667)))*60)- INT((ABS(-29.6166667) - INT(ABS(-29.6166667)))*60))*60), " 0''")</f>
        <v>-29°c c37  0</v>
      </c>
      <c r="J996" t="str">
        <f ca="1">TEXT(TRUNC(30.3833333), "0" &amp; CHAR(176) &amp; " ") &amp; TEXT(INT((ABS(30.3833333)- INT(ABS(30.3833333)))*60), "0' ") &amp; TEXT(((((ABS(30.3833333)-INT(ABS(30.3833333)))*60)- INT((ABS(30.3833333) - INT(ABS(30.3833333)))*60))*60), " 0''")</f>
        <v>30°c c22  60</v>
      </c>
    </row>
    <row r="997" spans="1:10">
      <c r="A997" t="s">
        <v>32</v>
      </c>
      <c r="B997" s="2">
        <v>7500</v>
      </c>
      <c r="C997" t="s">
        <v>11</v>
      </c>
      <c r="D997" t="s">
        <v>1525</v>
      </c>
      <c r="E997" t="s">
        <v>1117</v>
      </c>
      <c r="F997" t="s">
        <v>27</v>
      </c>
      <c r="G997" t="s">
        <v>15</v>
      </c>
      <c r="H997" s="3">
        <v>39838.482638888891</v>
      </c>
      <c r="I997" t="str">
        <f ca="1">TEXT(TRUNC(29.53861), "0" &amp; CHAR(176) &amp; " ") &amp; TEXT(INT((ABS(29.53861)- INT(ABS(29.53861)))*60), "0' ") &amp; TEXT(((((ABS(29.53861)-INT(ABS(29.53861)))*60)- INT((ABS(29.53861) - INT(ABS(29.53861)))*60))*60), " 0''")</f>
        <v>29°c c32  19</v>
      </c>
      <c r="J997" t="str">
        <f ca="1">TEXT(TRUNC(-95.44722), "0" &amp; CHAR(176) &amp; " ") &amp; TEXT(INT((ABS(-95.44722)- INT(ABS(-95.44722)))*60), "0' ") &amp; TEXT(((((ABS(-95.44722)-INT(ABS(-95.44722)))*60)- INT((ABS(-95.44722) - INT(ABS(-95.44722)))*60))*60), " 0''")</f>
        <v>-95°c c26  50</v>
      </c>
    </row>
    <row r="998" spans="1:10">
      <c r="A998" t="s">
        <v>32</v>
      </c>
      <c r="B998" s="2">
        <v>7500</v>
      </c>
      <c r="C998" t="s">
        <v>24</v>
      </c>
      <c r="D998" t="s">
        <v>1267</v>
      </c>
      <c r="E998" t="s">
        <v>1537</v>
      </c>
      <c r="F998" t="s">
        <v>1156</v>
      </c>
      <c r="G998" t="s">
        <v>15</v>
      </c>
      <c r="H998" s="3">
        <v>39838.674305555556</v>
      </c>
      <c r="I998" t="str">
        <f ca="1">TEXT(TRUNC(36.33194), "0" &amp; CHAR(176) &amp; " ") &amp; TEXT(INT((ABS(36.33194)- INT(ABS(36.33194)))*60), "0' ") &amp; TEXT(((((ABS(36.33194)-INT(ABS(36.33194)))*60)- INT((ABS(36.33194) - INT(ABS(36.33194)))*60))*60), " 0''")</f>
        <v>36°c c19  55</v>
      </c>
      <c r="J998" t="str">
        <f ca="1">TEXT(TRUNC(-94.11833), "0" &amp; CHAR(176) &amp; " ") &amp; TEXT(INT((ABS(-94.11833)- INT(ABS(-94.11833)))*60), "0' ") &amp; TEXT(((((ABS(-94.11833)-INT(ABS(-94.11833)))*60)- INT((ABS(-94.11833) - INT(ABS(-94.11833)))*60))*60), " 0''")</f>
        <v>-94°c c7  6</v>
      </c>
    </row>
    <row r="999" spans="1:10">
      <c r="A999" t="s">
        <v>1283</v>
      </c>
      <c r="B999" s="2">
        <v>7500</v>
      </c>
      <c r="C999" t="s">
        <v>11</v>
      </c>
      <c r="D999" t="s">
        <v>430</v>
      </c>
      <c r="E999" t="s">
        <v>1284</v>
      </c>
      <c r="F999" t="s">
        <v>1285</v>
      </c>
      <c r="G999" t="s">
        <v>15</v>
      </c>
      <c r="H999" s="3">
        <v>39833.225</v>
      </c>
      <c r="I999" t="str">
        <f ca="1">TEXT(TRUNC(32.525), "0" &amp; CHAR(176) &amp; " ") &amp; TEXT(INT((ABS(32.525)- INT(ABS(32.525)))*60), "0' ") &amp; TEXT(((((ABS(32.525)-INT(ABS(32.525)))*60)- INT((ABS(32.525) - INT(ABS(32.525)))*60))*60), " 0''")</f>
        <v>32°c c31  30</v>
      </c>
      <c r="J999" t="str">
        <f ca="1">TEXT(TRUNC(-93.75), "0" &amp; CHAR(176) &amp; " ") &amp; TEXT(INT((ABS(-93.75)- INT(ABS(-93.75)))*60), "0' ") &amp; TEXT(((((ABS(-93.75)-INT(ABS(-93.75)))*60)- INT((ABS(-93.75) - INT(ABS(-93.75)))*60))*60), " 0''")</f>
        <v>-93°c c45  0</v>
      </c>
    </row>
  </sheetData>
  <pageMargins left="0.7" right="0.7" top="0.75" bottom="0.75" header="0.3" footer="0.3"/>
  <headerFooter scaleWithDoc="1" alignWithMargins="0" differentFirst="0" differentOddEven="0"/>
  <tableParts count="1">
    <tablePart r:id="rId1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4" t="s">
        <v>1768</v>
      </c>
    </row>
  </sheetData>
  <sheetProtection algorithmName="SHA-512" hashValue="f6wgFAvB9YnP1EtdE3PWd2hIdpyd4TnLb4f12etZL8WmHo3i0NfPSwlzdJzNhOHZOpYDqAzWRK5e9j0pb8ZcHw==" saltValue="X9cxytlHzAiIjWbEm7aes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johnsonmonoharm</dc:creator>
  <dcterms:created xsi:type="dcterms:W3CDTF">2019-05-07T06:50:03Z</dcterms:created>
  <dcterms:modified xsi:type="dcterms:W3CDTF">2019-05-07T06:50:03Z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