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WSat2-SVN\suns\em4\pcb\SunS_fixture_EGSE\trunk\BOM\"/>
    </mc:Choice>
  </mc:AlternateContent>
  <bookViews>
    <workbookView xWindow="480" yWindow="120" windowWidth="19995" windowHeight="15585"/>
  </bookViews>
  <sheets>
    <sheet name="BOM" sheetId="1" r:id="rId1"/>
    <sheet name="Do NOT Modify" sheetId="2" r:id="rId2"/>
  </sheets>
  <externalReferences>
    <externalReference r:id="rId3"/>
  </externalReferences>
  <definedNames>
    <definedName name="_xlnm._FilterDatabase" localSheetId="0" hidden="1">BOM!$A$2:$Q$50</definedName>
    <definedName name="KursyC" localSheetId="1">'Do NOT Modify'!$D$1:$G$15</definedName>
    <definedName name="_xlnm.Print_Area" localSheetId="0">BOM!$A$2:$K$50</definedName>
  </definedNames>
  <calcPr calcId="162913"/>
</workbook>
</file>

<file path=xl/calcChain.xml><?xml version="1.0" encoding="utf-8"?>
<calcChain xmlns="http://schemas.openxmlformats.org/spreadsheetml/2006/main">
  <c r="K59" i="1" l="1"/>
  <c r="A44" i="1"/>
  <c r="I44" i="1"/>
  <c r="P44" i="1"/>
  <c r="P49" i="1"/>
  <c r="A49" i="1"/>
  <c r="P48" i="1"/>
  <c r="A48" i="1"/>
  <c r="P27" i="1" l="1"/>
  <c r="P38" i="1"/>
  <c r="P29" i="1"/>
  <c r="A27" i="1" l="1"/>
  <c r="A38" i="1"/>
  <c r="A29" i="1"/>
  <c r="P14" i="1" l="1"/>
  <c r="I14" i="1"/>
  <c r="A14" i="1"/>
  <c r="P28" i="1"/>
  <c r="I28" i="1"/>
  <c r="A28" i="1"/>
  <c r="P17" i="1"/>
  <c r="I17" i="1"/>
  <c r="A17" i="1"/>
  <c r="P43" i="1"/>
  <c r="I43" i="1"/>
  <c r="A43" i="1"/>
  <c r="P45" i="1"/>
  <c r="I45" i="1"/>
  <c r="A45" i="1"/>
  <c r="P39" i="1"/>
  <c r="I39" i="1"/>
  <c r="A39" i="1"/>
  <c r="P42" i="1"/>
  <c r="I42" i="1"/>
  <c r="A42" i="1"/>
  <c r="P37" i="1"/>
  <c r="I37" i="1"/>
  <c r="A37" i="1"/>
  <c r="P36" i="1"/>
  <c r="I36" i="1"/>
  <c r="A36" i="1"/>
  <c r="P35" i="1"/>
  <c r="I35" i="1"/>
  <c r="A35" i="1"/>
  <c r="P34" i="1"/>
  <c r="I34" i="1"/>
  <c r="A34" i="1"/>
  <c r="P33" i="1"/>
  <c r="I33" i="1"/>
  <c r="A33" i="1"/>
  <c r="P32" i="1"/>
  <c r="I32" i="1"/>
  <c r="A32" i="1"/>
  <c r="P31" i="1"/>
  <c r="I31" i="1"/>
  <c r="A31" i="1"/>
  <c r="P30" i="1"/>
  <c r="I30" i="1"/>
  <c r="A30" i="1"/>
  <c r="P12" i="1"/>
  <c r="I12" i="1"/>
  <c r="A12" i="1"/>
  <c r="P47" i="1"/>
  <c r="I47" i="1"/>
  <c r="A47" i="1"/>
  <c r="P40" i="1"/>
  <c r="I40" i="1"/>
  <c r="A40" i="1"/>
  <c r="P26" i="1"/>
  <c r="I26" i="1"/>
  <c r="A26" i="1"/>
  <c r="P25" i="1"/>
  <c r="I25" i="1"/>
  <c r="A25" i="1"/>
  <c r="P24" i="1"/>
  <c r="I24" i="1"/>
  <c r="A24" i="1"/>
  <c r="P23" i="1"/>
  <c r="I23" i="1"/>
  <c r="A23" i="1"/>
  <c r="P22" i="1"/>
  <c r="I22" i="1"/>
  <c r="A22" i="1"/>
  <c r="P21" i="1"/>
  <c r="I21" i="1"/>
  <c r="A21" i="1"/>
  <c r="P20" i="1"/>
  <c r="I20" i="1"/>
  <c r="A20" i="1"/>
  <c r="P19" i="1"/>
  <c r="I19" i="1"/>
  <c r="A19" i="1"/>
  <c r="P18" i="1"/>
  <c r="I18" i="1"/>
  <c r="A18" i="1"/>
  <c r="P50" i="1"/>
  <c r="I50" i="1"/>
  <c r="A50" i="1"/>
  <c r="P41" i="1"/>
  <c r="I41" i="1"/>
  <c r="A41" i="1"/>
  <c r="P15" i="1"/>
  <c r="I15" i="1"/>
  <c r="A15" i="1"/>
  <c r="P46" i="1"/>
  <c r="I46" i="1"/>
  <c r="A46" i="1"/>
  <c r="P13" i="1"/>
  <c r="I13" i="1"/>
  <c r="A13" i="1"/>
  <c r="P16" i="1"/>
  <c r="I16" i="1"/>
  <c r="A16" i="1"/>
  <c r="P11" i="1"/>
  <c r="I11" i="1"/>
  <c r="A11" i="1"/>
  <c r="P10" i="1"/>
  <c r="I10" i="1"/>
  <c r="A10" i="1"/>
  <c r="P9" i="1"/>
  <c r="I9" i="1"/>
  <c r="A9" i="1"/>
  <c r="P8" i="1"/>
  <c r="I8" i="1"/>
  <c r="A8" i="1"/>
  <c r="P7" i="1"/>
  <c r="I7" i="1"/>
  <c r="A7" i="1"/>
  <c r="P6" i="1"/>
  <c r="I6" i="1"/>
  <c r="A6" i="1"/>
  <c r="P5" i="1"/>
  <c r="I5" i="1"/>
  <c r="A5" i="1"/>
  <c r="P53" i="1" l="1"/>
  <c r="P54" i="1"/>
  <c r="P55" i="1"/>
  <c r="I4" i="1"/>
  <c r="I3" i="1"/>
  <c r="P3" i="1" l="1"/>
  <c r="P4" i="1"/>
  <c r="P52" i="1" l="1"/>
  <c r="I4" i="2" l="1"/>
  <c r="I5" i="2"/>
  <c r="I6" i="2"/>
  <c r="I7" i="2"/>
  <c r="I8" i="2"/>
  <c r="I9" i="2"/>
  <c r="I10" i="2"/>
  <c r="I11" i="2"/>
  <c r="I12" i="2"/>
  <c r="I13" i="2"/>
  <c r="I14" i="2"/>
  <c r="I15" i="2"/>
  <c r="I3" i="2"/>
  <c r="H4" i="2"/>
  <c r="H5" i="2"/>
  <c r="H6" i="2"/>
  <c r="H7" i="2"/>
  <c r="H8" i="2"/>
  <c r="H9" i="2"/>
  <c r="H10" i="2"/>
  <c r="H11" i="2"/>
  <c r="H12" i="2"/>
  <c r="J12" i="2" s="1"/>
  <c r="K12" i="2" s="1"/>
  <c r="H13" i="2"/>
  <c r="H14" i="2"/>
  <c r="H15" i="2"/>
  <c r="H3" i="2"/>
  <c r="J3" i="2" s="1"/>
  <c r="K3" i="2" s="1"/>
  <c r="J14" i="2" l="1"/>
  <c r="K14" i="2" s="1"/>
  <c r="J10" i="2"/>
  <c r="K10" i="2" s="1"/>
  <c r="J13" i="2"/>
  <c r="K13" i="2" s="1"/>
  <c r="J9" i="2"/>
  <c r="K9" i="2" s="1"/>
  <c r="J5" i="2"/>
  <c r="K5" i="2" s="1"/>
  <c r="J8" i="2"/>
  <c r="K8" i="2" s="1"/>
  <c r="J4" i="2"/>
  <c r="K4" i="2" s="1"/>
  <c r="J6" i="2"/>
  <c r="K6" i="2" s="1"/>
  <c r="J15" i="2"/>
  <c r="K15" i="2" s="1"/>
  <c r="J11" i="2"/>
  <c r="K11" i="2" s="1"/>
  <c r="J7" i="2"/>
  <c r="K7" i="2" s="1"/>
  <c r="A3" i="1" l="1"/>
  <c r="A4" i="1"/>
  <c r="K58" i="1" l="1"/>
  <c r="L58" i="1" s="1"/>
  <c r="K57" i="1"/>
  <c r="L57" i="1" s="1"/>
  <c r="K56" i="1"/>
  <c r="L56" i="1" s="1"/>
  <c r="L59" i="1" l="1"/>
</calcChain>
</file>

<file path=xl/connections.xml><?xml version="1.0" encoding="utf-8"?>
<connections xmlns="http://schemas.openxmlformats.org/spreadsheetml/2006/main">
  <connection id="1" name="Connection" type="4" refreshedVersion="6" background="1" refreshOnLoad="1" saveData="1">
    <webPr sourceData="1" parsePre="1" consecutive="1" xl2000="1" url="http://www.nbp.pl/Kursy/KursyC.html" htmlTables="1">
      <tables count="1">
        <x v="4"/>
      </tables>
    </webPr>
  </connection>
</connections>
</file>

<file path=xl/sharedStrings.xml><?xml version="1.0" encoding="utf-8"?>
<sst xmlns="http://schemas.openxmlformats.org/spreadsheetml/2006/main" count="413" uniqueCount="265">
  <si>
    <t>#</t>
  </si>
  <si>
    <t>BOM</t>
  </si>
  <si>
    <t>Order Supplier</t>
  </si>
  <si>
    <t>Order Qty</t>
  </si>
  <si>
    <t>Order Price per Qty</t>
  </si>
  <si>
    <t>Overall Price</t>
  </si>
  <si>
    <t>Order URL</t>
  </si>
  <si>
    <t>TME</t>
  </si>
  <si>
    <t>Supplier 1</t>
  </si>
  <si>
    <t>Supplier 2</t>
  </si>
  <si>
    <t>Supplier 3</t>
  </si>
  <si>
    <t>Supplier 4</t>
  </si>
  <si>
    <t>Supplier 5</t>
  </si>
  <si>
    <t>Supplier 6</t>
  </si>
  <si>
    <t>Other</t>
  </si>
  <si>
    <t>RS Components</t>
  </si>
  <si>
    <t>Farnell</t>
  </si>
  <si>
    <t>DigiKey</t>
  </si>
  <si>
    <t>PLN</t>
  </si>
  <si>
    <t>USD</t>
  </si>
  <si>
    <t>EUR</t>
  </si>
  <si>
    <t>Currency</t>
  </si>
  <si>
    <t>GBP</t>
  </si>
  <si>
    <t>kupna - num</t>
  </si>
  <si>
    <t>sprzedaży - num</t>
  </si>
  <si>
    <t>średni - num</t>
  </si>
  <si>
    <t>IS AVERAGE NUMBER?</t>
  </si>
  <si>
    <t>DO NOT Order</t>
  </si>
  <si>
    <t>Description</t>
  </si>
  <si>
    <t>Bill of Materials For Project [SunS_fixture_EGSE.PrjPcb] (No PCB Document Selected)</t>
  </si>
  <si>
    <t>SunS_fixture_EGSE.PrjPcb</t>
  </si>
  <si>
    <t>Value</t>
  </si>
  <si>
    <t>10p, 10p, 100n, 100n, 10p, 10p, 33n, 100n, 100n, 100n, 100n, 100n, 100n, 100n, 100n, 100n, 100n</t>
  </si>
  <si>
    <t>1u/25V</t>
  </si>
  <si>
    <t>10u/25V</t>
  </si>
  <si>
    <t>100n/100V</t>
  </si>
  <si>
    <t>1k/1%</t>
  </si>
  <si>
    <t/>
  </si>
  <si>
    <t>120R/100MHz</t>
  </si>
  <si>
    <t>Mounting Hole</t>
  </si>
  <si>
    <t>fixture_ALS_9_pad_1mm_pitch</t>
  </si>
  <si>
    <t>Si4403BDY</t>
  </si>
  <si>
    <t>10k</t>
  </si>
  <si>
    <t>220R</t>
  </si>
  <si>
    <t>100R</t>
  </si>
  <si>
    <t>4.7k</t>
  </si>
  <si>
    <t>3.3k</t>
  </si>
  <si>
    <t>1k</t>
  </si>
  <si>
    <t>470R</t>
  </si>
  <si>
    <t>27R</t>
  </si>
  <si>
    <t>ATMEGA164PV-10AQ</t>
  </si>
  <si>
    <t>6 MHz</t>
  </si>
  <si>
    <t>Footprint</t>
  </si>
  <si>
    <t>SMD_Capacitor_0603</t>
  </si>
  <si>
    <t>SMD_Capacitor_1206</t>
  </si>
  <si>
    <t>Tantalum_cap_D</t>
  </si>
  <si>
    <t>SMD_Capacitor_0805</t>
  </si>
  <si>
    <t>SMD_Resistor_0805</t>
  </si>
  <si>
    <t>LED 0805 RED</t>
  </si>
  <si>
    <t>SMD_FerriteBead_1206</t>
  </si>
  <si>
    <t>SunS_PcbMntHole_M2</t>
  </si>
  <si>
    <t>USB_Mini-B_Molex_SMT</t>
  </si>
  <si>
    <t>PC-104_PcbMntHole_M3</t>
  </si>
  <si>
    <t>Mill-Max 854-22-003-10-001101</t>
  </si>
  <si>
    <t>HEADER 1x4 MALE</t>
  </si>
  <si>
    <t>Mill-Max 854-22-004-10-001101</t>
  </si>
  <si>
    <t>Mill-Max 854-22-009-10-001101</t>
  </si>
  <si>
    <t>IDC-10-Male-Socket</t>
  </si>
  <si>
    <t>HEADER 1x9 MALE</t>
  </si>
  <si>
    <t>HEADER 1X3 MALE</t>
  </si>
  <si>
    <t>HEADER 1X2 Male</t>
  </si>
  <si>
    <t>HEADER 1X2H Male</t>
  </si>
  <si>
    <t>Mill-Max 854-22-006-10-001101</t>
  </si>
  <si>
    <t>SOIC-8_M</t>
  </si>
  <si>
    <t>SMD_Resistor_0603</t>
  </si>
  <si>
    <t>MCEPM-08</t>
  </si>
  <si>
    <t>Tact Switch 3x6</t>
  </si>
  <si>
    <t>TQFP-44</t>
  </si>
  <si>
    <t>LQFP-48_N</t>
  </si>
  <si>
    <t>D0008A_N</t>
  </si>
  <si>
    <t>SOT-223-DB3_M</t>
  </si>
  <si>
    <t>SMD, 5mm x 3.2mm</t>
  </si>
  <si>
    <t>Quantity</t>
  </si>
  <si>
    <t>Cap</t>
  </si>
  <si>
    <t>Ceramic Cap Kemet COTS 1u/25V X7R 1206</t>
  </si>
  <si>
    <t>Tantalum Capacitor CWR11 10u/22V.</t>
  </si>
  <si>
    <t>Ceramic Cap Kemet COTS 100n/100V X7R 0805</t>
  </si>
  <si>
    <t>1k/1% Vishay CRCW 0805 Resistor. 125mW, 100ppm, 150V.</t>
  </si>
  <si>
    <t>Typical LED</t>
  </si>
  <si>
    <t>Ferrite bead, 1206, 0.02HM, 3.5A.</t>
  </si>
  <si>
    <t>PCB Mounting Hole</t>
  </si>
  <si>
    <t>Connector SMD USB Type Mini-B</t>
  </si>
  <si>
    <t>SPRING-LOADED CONNECTORS, 854-22-003-10-001101, 1.27 mm pitch, 1x3pin, THT</t>
  </si>
  <si>
    <t>Header, 4-Pin</t>
  </si>
  <si>
    <t>SPRING-LOADED CONNECTORS, 854-22-004-10-001101, 1.27 mm pitch, 1x4pin, THT.</t>
  </si>
  <si>
    <t>SPRING-LOADED CONNECTORS, 854-22-009-10-001101, 1.27 mm pitch, 1x9pin, THT.</t>
  </si>
  <si>
    <t>Header, 5-Pin, Dual row</t>
  </si>
  <si>
    <t>Header, 9-Pin</t>
  </si>
  <si>
    <t>Header, 3-Pin</t>
  </si>
  <si>
    <t>Header, 2-Pin</t>
  </si>
  <si>
    <t>ALS Panel Fixture Connection</t>
  </si>
  <si>
    <t>SPRING-LOADED CONNECTORS, 854-22-006-10-001101, 1.27 mm pitch, 1x6pin, THT.</t>
  </si>
  <si>
    <t>P-Channel 1.8 V (G-S) MOSFET</t>
  </si>
  <si>
    <t>1k/1% Vishay CRCW 0603 Resistor. 100mW, 100ppm, 75V.</t>
  </si>
  <si>
    <t>1k/1% Vishay CRCW 0603 Resistor. 100mW, 100ppm, 75V., [NoValue]</t>
  </si>
  <si>
    <t>General-purpose microcontroller</t>
  </si>
  <si>
    <t>FT2232D Dual USB to Serial UART/FIFO IC, -40 to +85 degC, 48-pin LQFP</t>
  </si>
  <si>
    <t>1 Mbps Dual Channels, 1 / 1, Digital Isolator, 3.3 V / 5 V, -40 to +125 degC, 8-pin SOIC (D), Green (RoHS &amp; no Sb/Br)</t>
  </si>
  <si>
    <t>1000 mA, Low Voltage, Low Quiescent Current LDO Regulator, 3-Pin SOT-223, Extended Temperature</t>
  </si>
  <si>
    <t>Resonator Ceramic</t>
  </si>
  <si>
    <t>#Column Name Error:voltage</t>
  </si>
  <si>
    <t>#Column Name Error:dielectric</t>
  </si>
  <si>
    <t>#Column Name Error:Manufacturer Part Number</t>
  </si>
  <si>
    <t>Comment</t>
  </si>
  <si>
    <t>LEDX</t>
  </si>
  <si>
    <t>USB_Mini-B</t>
  </si>
  <si>
    <t>UART SunS</t>
  </si>
  <si>
    <t>JTAG SunS</t>
  </si>
  <si>
    <t>JTAG AVR</t>
  </si>
  <si>
    <t>Header 9</t>
  </si>
  <si>
    <t>PLD BUS</t>
  </si>
  <si>
    <t>GND</t>
  </si>
  <si>
    <t>Header 3</t>
  </si>
  <si>
    <t>Header 2</t>
  </si>
  <si>
    <t>+3.3V-IS</t>
  </si>
  <si>
    <t>Vin-EXT</t>
  </si>
  <si>
    <t>Tact Switch</t>
  </si>
  <si>
    <t>FT2232D</t>
  </si>
  <si>
    <t>ISO7221AD</t>
  </si>
  <si>
    <t>MCP1826S-3302E/DB</t>
  </si>
  <si>
    <t>Designator</t>
  </si>
  <si>
    <t>C1, C2, C3, C4, C5, C6, C7, C8_AVR_UART, C8_SunS_UART, C11, C12, C14, C15, C16, C17, C18, C19</t>
  </si>
  <si>
    <t>C9</t>
  </si>
  <si>
    <t>C10</t>
  </si>
  <si>
    <t>C13</t>
  </si>
  <si>
    <t>CONN_C1, CONN_C2, CONN_C3, CONN_C4</t>
  </si>
  <si>
    <t>CONN_R1, CONN_R2, CONN_R3, CONN_R4</t>
  </si>
  <si>
    <t>D1, D2, D3, D4, D5</t>
  </si>
  <si>
    <t>FB1, FB2, FB3</t>
  </si>
  <si>
    <t>H3, H4, H5, H6</t>
  </si>
  <si>
    <t>J1</t>
  </si>
  <si>
    <t>MNT1, MNT2, MNT3, MNT4</t>
  </si>
  <si>
    <t>P1</t>
  </si>
  <si>
    <t>P2</t>
  </si>
  <si>
    <t>P3</t>
  </si>
  <si>
    <t>P4, P5, P6, P7</t>
  </si>
  <si>
    <t>P8</t>
  </si>
  <si>
    <t>P9</t>
  </si>
  <si>
    <t>P10, P11, P12, P13</t>
  </si>
  <si>
    <t>P14</t>
  </si>
  <si>
    <t>P15, P20</t>
  </si>
  <si>
    <t>P16</t>
  </si>
  <si>
    <t>P17</t>
  </si>
  <si>
    <t>P18, P21</t>
  </si>
  <si>
    <t>P19</t>
  </si>
  <si>
    <t>PANEL_A, PANEL_B, PANEL_C, PANEL_D</t>
  </si>
  <si>
    <t>Q1</t>
  </si>
  <si>
    <t>R1, R2, R3, R4, R41, R43</t>
  </si>
  <si>
    <t>R5, R6, R7, R8</t>
  </si>
  <si>
    <t>R9, R16, R17, R19, R21, R23, R24, R25, R26, R27, R28, R29, R30, R31, R44</t>
  </si>
  <si>
    <t>R11, R12</t>
  </si>
  <si>
    <t>R35</t>
  </si>
  <si>
    <t>R36, R40</t>
  </si>
  <si>
    <t>R37, R42</t>
  </si>
  <si>
    <t>R38, R39</t>
  </si>
  <si>
    <t>S1, S2, S3, S4</t>
  </si>
  <si>
    <t>S5</t>
  </si>
  <si>
    <t>U1</t>
  </si>
  <si>
    <t>U2</t>
  </si>
  <si>
    <t>U3_AVR_UART, U3_SunS_UART</t>
  </si>
  <si>
    <t>U4</t>
  </si>
  <si>
    <t>XT1</t>
  </si>
  <si>
    <t>XT2</t>
  </si>
  <si>
    <t>Nazwa waluty</t>
  </si>
  <si>
    <t>Kod waluty</t>
  </si>
  <si>
    <t>Kurs:</t>
  </si>
  <si>
    <t>kupna</t>
  </si>
  <si>
    <t>sprzedaży</t>
  </si>
  <si>
    <t>dolar amerykański</t>
  </si>
  <si>
    <t>1 USD</t>
  </si>
  <si>
    <t>dolar australijski</t>
  </si>
  <si>
    <t>1 AUD</t>
  </si>
  <si>
    <t>dolar kanadyjski</t>
  </si>
  <si>
    <t>1 CAD</t>
  </si>
  <si>
    <t>euro</t>
  </si>
  <si>
    <t>1 EUR</t>
  </si>
  <si>
    <t>forint (Węgry)</t>
  </si>
  <si>
    <t>100 HUF</t>
  </si>
  <si>
    <t>frank szwajcarski</t>
  </si>
  <si>
    <t>1 CHF</t>
  </si>
  <si>
    <t>funt szterling</t>
  </si>
  <si>
    <t>1 GBP</t>
  </si>
  <si>
    <t>jen (Japonia)</t>
  </si>
  <si>
    <t>100 JPY</t>
  </si>
  <si>
    <t>korona czeska</t>
  </si>
  <si>
    <t>1 CZK</t>
  </si>
  <si>
    <t>korona duńska</t>
  </si>
  <si>
    <t>1 DKK</t>
  </si>
  <si>
    <t>korona norweska</t>
  </si>
  <si>
    <t>1 NOK</t>
  </si>
  <si>
    <t>korona szwedzka</t>
  </si>
  <si>
    <t>1 SEK</t>
  </si>
  <si>
    <t>SDR (MFW)</t>
  </si>
  <si>
    <t>1 XDR</t>
  </si>
  <si>
    <t>11 MHz</t>
  </si>
  <si>
    <t>http://pl.mouser.com/ProductDetail/Mill-Max/854-22-003-10-001101/?qs=%2fha2pyFaduj8mSoDOdzxOBNl1CILsqN13pe0O43WEjSWpML3XBMgzAHzVnht4XDi9c8%252bjIr1XGQ%3d</t>
  </si>
  <si>
    <t>http://pl.mouser.com/ProductDetail/Mill-Max/854-22-004-10-001101/?qs=%2fha2pyFaduj8mSoDOdzxOBNl1CILsqN1kaFW9cW7SNIVPBnkekjeKcc2MNt5bumqwrE0WldwPUY%3d</t>
  </si>
  <si>
    <t>http://pl.mouser.com/ProductDetail/Mill-Max/854-22-009-10-001101/?qs=%2fha2pyFaduj8mSoDOdzxOBNl1CILsqN1aVnsqjUnZkTCVC%252bLskPJ%252brNdxtHjpN4Yg3JHx4CoOjc%3d</t>
  </si>
  <si>
    <t>1.27mm HEADER</t>
  </si>
  <si>
    <t>http://www.tme.eu/pl/details/zl319-10p/listwy-i-gniazda-kolkowe/connfly/ds1031-01-1_10p8bv3-1/</t>
  </si>
  <si>
    <t>http://pl.mouser.com/ProductDetail/Mill-Max/854-22-006-10-001101/?qs=%2fha2pyFaduj8mSoDOdzxOBNl1CILsqN1%2fEFzDP9AzQVdlIL%252bqMWuLHgivf15UCQKWCPocfLyM%252b0%3d</t>
  </si>
  <si>
    <t>http://www.tme.eu/pl/details/si4403bdy-e3/tranzystory-z-kanalem-p-smd/vishay/</t>
  </si>
  <si>
    <t>http://www.tme.eu/pl/details/esd108e/przelaczniki-typu-dip-switch/diptronics/dm-08-v/</t>
  </si>
  <si>
    <t>http://pl.mouser.com/ProductDetail/Microchip-Technology-Atmel/ATMEGA1284P-AU/?qs=sGAEpiMZZMutXGli8Ay4kPvU7V9BGPHXTagBRGOCZGY%3d</t>
  </si>
  <si>
    <t>http://pl.mouser.com/ProductDetail/FTDI/FT2232D-REEL/?qs=sGAEpiMZZMs5ceO8zL%252bTx1MX80vovAFq</t>
  </si>
  <si>
    <t>FTDI</t>
  </si>
  <si>
    <t>http://pl.mouser.com/ProductDetail/Texas-Instruments/ISO7221ADR/?qs=sGAEpiMZZMssyD0wnx%2fymBb5wqZrYrNlLJSaydkJwic%3d</t>
  </si>
  <si>
    <t>http://pl.mouser.com/ProductDetail/Microchip-Technology/MCP1826S-3302E-DB/?qs=sGAEpiMZZMsGz1a6aV8DcJ7KfjtCj7XdzpQOVbegnj4%3d</t>
  </si>
  <si>
    <t>http://pl.mouser.com/ProductDetail/ABRACON/ABM3B-110592MHZ-10-1-U-T/?qs=%2fha2pyFaduiPXs3%2feWvVmghBQWVfpEOj7ZTIXWozx6o%3d</t>
  </si>
  <si>
    <t>HC49</t>
  </si>
  <si>
    <t>http://pl.mouser.com/ProductDetail/ECS/ECS-60-S-1X/?qs=sGAEpiMZZMsBj6bBr9Q9aQVbz5FLOGxj2BW1hFwvckw%3d</t>
  </si>
  <si>
    <t>DREMEC 221X05</t>
  </si>
  <si>
    <t>http://www.tme.eu/pl/details/tfm-m2x5_dr221/elementy-dystansowe-metalowe/dremec/221x05/</t>
  </si>
  <si>
    <t>FIX&amp;FASTEN FIX-HP2-14</t>
  </si>
  <si>
    <t>FIX&amp;FASTEN FIX-TP2-10</t>
  </si>
  <si>
    <t>http://www.tme.eu/pl/details/fix-hp2-14/tuleje-dystansowe-plastikowe/fixfasten/</t>
  </si>
  <si>
    <t>http://www.tme.eu/pl/details/fix-tp2-10/tuleje-dystansowe-plastikowe/fixfasten/</t>
  </si>
  <si>
    <t>SUM (NETTO)</t>
  </si>
  <si>
    <t>http://www.tme.eu/pl/details/mx-67503-1020/zlacza-usb-i-ieee1394/molex/675031020/</t>
  </si>
  <si>
    <t>http://pl.mouser.com/ProductDetail/Vishay-Sprague/293D106X9035D2WE3/?qs=sGAEpiMZZMuEN2agSAc2pmB2ujJfk3uTJlNuxUj%2fGL4%3d</t>
  </si>
  <si>
    <t>Spring connector</t>
  </si>
  <si>
    <t>3,7869</t>
  </si>
  <si>
    <t>3,8635</t>
  </si>
  <si>
    <t>2,8129</t>
  </si>
  <si>
    <t>2,8697</t>
  </si>
  <si>
    <t>2,7765</t>
  </si>
  <si>
    <t>2,8325</t>
  </si>
  <si>
    <t>4,1579</t>
  </si>
  <si>
    <t>4,2419</t>
  </si>
  <si>
    <t>1,3463</t>
  </si>
  <si>
    <t>1,3735</t>
  </si>
  <si>
    <t>3,8010</t>
  </si>
  <si>
    <t>3,8778</t>
  </si>
  <si>
    <t>4,8882</t>
  </si>
  <si>
    <t>4,9870</t>
  </si>
  <si>
    <t>3,3325</t>
  </si>
  <si>
    <t>3,3999</t>
  </si>
  <si>
    <t>0,1569</t>
  </si>
  <si>
    <t>0,1601</t>
  </si>
  <si>
    <t>0,5590</t>
  </si>
  <si>
    <t>0,5702</t>
  </si>
  <si>
    <t>0,4446</t>
  </si>
  <si>
    <t>0,4536</t>
  </si>
  <si>
    <t>0,4291</t>
  </si>
  <si>
    <t>0,4377</t>
  </si>
  <si>
    <t>5,2204</t>
  </si>
  <si>
    <t>5,3258</t>
  </si>
  <si>
    <t>Brutto</t>
  </si>
  <si>
    <t>PT100</t>
  </si>
  <si>
    <t>http://pl.mouser.com/ProductDetail/Measurement-Specialties/PTFC101B1G0/?qs=sGAEpiMZZMtMks3Lma1jFz8v13XRYIULhLm21%2fMHegt85EoD2yuRIQ%3d%3d</t>
  </si>
  <si>
    <t>Atmega128L</t>
  </si>
  <si>
    <t>http://pl.mouser.com/ProductDetail/Microchip-Technology-Atmel/ATmega128L-8AU/?qs=sGAEpiMZZMvqv2n3s2xjsVIKSdqlAUq6S9QBHv3yhug%3d</t>
  </si>
  <si>
    <t>Mouser 1</t>
  </si>
  <si>
    <t>Mouser 2</t>
  </si>
  <si>
    <t>Supplier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</si>
</sst>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zł-415]_-;\-* #,##0.00\ [$zł-415]_-;_-* &quot;-&quot;??\ [$zł-415]_-;_-@_-"/>
  </numFmts>
  <fonts count="10" x14ac:knownFonts="1">
    <font>
      <sz val="10"/>
      <name val="Arial"/>
      <charset val="204"/>
    </font>
    <font>
      <b/>
      <sz val="10"/>
      <name val="Arial"/>
      <family val="2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b/>
      <sz val="16"/>
      <name val="Arial"/>
      <family val="2"/>
      <charset val="238"/>
    </font>
    <font>
      <sz val="10"/>
      <name val="Arial"/>
      <family val="2"/>
      <charset val="238"/>
    </font>
    <font>
      <b/>
      <sz val="10"/>
      <color rgb="FF00B050"/>
      <name val="Arial"/>
      <family val="2"/>
      <charset val="238"/>
    </font>
    <font>
      <sz val="10"/>
      <color rgb="FF00B050"/>
      <name val="Arial"/>
      <family val="2"/>
      <charset val="238"/>
    </font>
    <font>
      <u/>
      <sz val="10"/>
      <color theme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hair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7">
    <xf numFmtId="0" fontId="0" fillId="0" borderId="0" xfId="0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0" xfId="0" applyFont="1"/>
    <xf numFmtId="0" fontId="0" fillId="0" borderId="12" xfId="0" applyBorder="1"/>
    <xf numFmtId="0" fontId="0" fillId="0" borderId="13" xfId="0" applyBorder="1"/>
    <xf numFmtId="0" fontId="3" fillId="2" borderId="14" xfId="0" applyFont="1" applyFill="1" applyBorder="1" applyAlignment="1">
      <alignment horizontal="left" vertical="center" wrapText="1"/>
    </xf>
    <xf numFmtId="0" fontId="0" fillId="0" borderId="16" xfId="0" applyBorder="1"/>
    <xf numFmtId="0" fontId="0" fillId="3" borderId="15" xfId="0" applyFill="1" applyBorder="1" applyAlignment="1">
      <alignment horizontal="left" vertical="center" wrapText="1"/>
    </xf>
    <xf numFmtId="0" fontId="1" fillId="4" borderId="19" xfId="0" applyFont="1" applyFill="1" applyBorder="1" applyAlignment="1">
      <alignment horizontal="center" wrapText="1"/>
    </xf>
    <xf numFmtId="0" fontId="0" fillId="0" borderId="18" xfId="0" applyBorder="1"/>
    <xf numFmtId="0" fontId="1" fillId="4" borderId="19" xfId="0" quotePrefix="1" applyFont="1" applyFill="1" applyBorder="1" applyAlignment="1">
      <alignment horizontal="center" wrapText="1"/>
    </xf>
    <xf numFmtId="0" fontId="1" fillId="4" borderId="20" xfId="0" applyFont="1" applyFill="1" applyBorder="1" applyAlignment="1">
      <alignment horizontal="center" wrapText="1"/>
    </xf>
    <xf numFmtId="0" fontId="1" fillId="2" borderId="19" xfId="0" applyFont="1" applyFill="1" applyBorder="1" applyAlignment="1">
      <alignment horizontal="center" wrapText="1"/>
    </xf>
    <xf numFmtId="0" fontId="1" fillId="2" borderId="22" xfId="0" applyFont="1" applyFill="1" applyBorder="1" applyAlignment="1">
      <alignment horizontal="left" wrapText="1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0" borderId="3" xfId="0" applyBorder="1"/>
    <xf numFmtId="0" fontId="0" fillId="2" borderId="3" xfId="0" applyFill="1" applyBorder="1"/>
    <xf numFmtId="0" fontId="6" fillId="0" borderId="25" xfId="0" applyFont="1" applyBorder="1"/>
    <xf numFmtId="0" fontId="6" fillId="0" borderId="0" xfId="0" applyFont="1" applyBorder="1"/>
    <xf numFmtId="0" fontId="0" fillId="0" borderId="0" xfId="0" applyBorder="1"/>
    <xf numFmtId="0" fontId="0" fillId="0" borderId="26" xfId="0" applyBorder="1"/>
    <xf numFmtId="0" fontId="3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7" fillId="0" borderId="3" xfId="0" applyFont="1" applyBorder="1" applyAlignment="1">
      <alignment wrapText="1"/>
    </xf>
    <xf numFmtId="0" fontId="3" fillId="0" borderId="3" xfId="0" applyFont="1" applyBorder="1"/>
    <xf numFmtId="0" fontId="0" fillId="2" borderId="3" xfId="0" applyFill="1" applyBorder="1" applyAlignment="1">
      <alignment wrapText="1"/>
    </xf>
    <xf numFmtId="0" fontId="8" fillId="2" borderId="3" xfId="0" applyFont="1" applyFill="1" applyBorder="1" applyAlignment="1">
      <alignment wrapText="1"/>
    </xf>
    <xf numFmtId="0" fontId="8" fillId="0" borderId="3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3" fillId="0" borderId="27" xfId="0" applyFont="1" applyBorder="1" applyAlignment="1">
      <alignment horizontal="center" wrapText="1"/>
    </xf>
    <xf numFmtId="0" fontId="3" fillId="0" borderId="28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21" xfId="0" applyFont="1" applyFill="1" applyBorder="1" applyAlignment="1">
      <alignment wrapText="1"/>
    </xf>
    <xf numFmtId="0" fontId="3" fillId="0" borderId="30" xfId="0" applyFont="1" applyBorder="1" applyAlignment="1">
      <alignment wrapText="1"/>
    </xf>
    <xf numFmtId="0" fontId="3" fillId="0" borderId="21" xfId="0" applyFont="1" applyBorder="1" applyAlignment="1">
      <alignment wrapText="1"/>
    </xf>
    <xf numFmtId="164" fontId="0" fillId="3" borderId="1" xfId="0" applyNumberFormat="1" applyFill="1" applyBorder="1" applyAlignment="1">
      <alignment horizontal="left" vertical="center"/>
    </xf>
    <xf numFmtId="0" fontId="0" fillId="0" borderId="31" xfId="0" applyBorder="1" applyAlignment="1">
      <alignment horizontal="center" vertical="center" wrapText="1"/>
    </xf>
    <xf numFmtId="0" fontId="1" fillId="4" borderId="32" xfId="0" applyFont="1" applyFill="1" applyBorder="1" applyAlignment="1">
      <alignment horizontal="center" wrapText="1"/>
    </xf>
    <xf numFmtId="0" fontId="0" fillId="3" borderId="17" xfId="0" applyFill="1" applyBorder="1" applyAlignment="1">
      <alignment horizontal="left" vertical="center" wrapText="1"/>
    </xf>
    <xf numFmtId="0" fontId="0" fillId="3" borderId="34" xfId="0" applyFill="1" applyBorder="1" applyAlignment="1">
      <alignment horizontal="left" vertical="center" wrapText="1"/>
    </xf>
    <xf numFmtId="0" fontId="0" fillId="0" borderId="33" xfId="0" applyBorder="1" applyAlignment="1"/>
    <xf numFmtId="0" fontId="0" fillId="0" borderId="11" xfId="0" applyBorder="1" applyAlignment="1">
      <alignment horizontal="center" vertical="center" wrapText="1"/>
    </xf>
    <xf numFmtId="0" fontId="3" fillId="3" borderId="21" xfId="0" quotePrefix="1" applyFont="1" applyFill="1" applyBorder="1" applyAlignment="1">
      <alignment horizontal="left" vertical="center"/>
    </xf>
    <xf numFmtId="0" fontId="1" fillId="2" borderId="20" xfId="0" quotePrefix="1" applyFont="1" applyFill="1" applyBorder="1" applyAlignment="1">
      <alignment horizontal="center" wrapText="1"/>
    </xf>
    <xf numFmtId="0" fontId="0" fillId="3" borderId="1" xfId="0" quotePrefix="1" applyFill="1" applyBorder="1" applyAlignment="1">
      <alignment horizontal="left" vertical="center" wrapText="1"/>
    </xf>
    <xf numFmtId="0" fontId="1" fillId="2" borderId="19" xfId="0" quotePrefix="1" applyFont="1" applyFill="1" applyBorder="1" applyAlignment="1">
      <alignment horizont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0" fontId="0" fillId="0" borderId="2" xfId="0" quotePrefix="1" applyBorder="1" applyAlignment="1">
      <alignment horizontal="left" vertical="center" wrapText="1"/>
    </xf>
    <xf numFmtId="0" fontId="6" fillId="3" borderId="1" xfId="0" quotePrefix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9" fillId="3" borderId="17" xfId="1" applyFill="1" applyBorder="1" applyAlignment="1">
      <alignment horizontal="left" vertical="center" wrapText="1"/>
    </xf>
    <xf numFmtId="0" fontId="6" fillId="0" borderId="1" xfId="0" quotePrefix="1" applyFont="1" applyBorder="1" applyAlignment="1">
      <alignment horizontal="left" vertical="center" wrapText="1"/>
    </xf>
    <xf numFmtId="0" fontId="6" fillId="0" borderId="0" xfId="0" quotePrefix="1" applyFont="1" applyBorder="1" applyAlignment="1">
      <alignment horizontal="left" vertical="center" wrapText="1"/>
    </xf>
    <xf numFmtId="164" fontId="3" fillId="2" borderId="35" xfId="0" applyNumberFormat="1" applyFont="1" applyFill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0" fontId="0" fillId="0" borderId="0" xfId="0" quotePrefix="1" applyBorder="1" applyAlignment="1">
      <alignment horizontal="left" vertical="center" wrapText="1"/>
    </xf>
    <xf numFmtId="0" fontId="5" fillId="3" borderId="21" xfId="0" applyFont="1" applyFill="1" applyBorder="1" applyAlignment="1">
      <alignment horizontal="center" vertical="center"/>
    </xf>
    <xf numFmtId="0" fontId="4" fillId="3" borderId="4" xfId="0" quotePrefix="1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3" fillId="0" borderId="0" xfId="0" applyFont="1"/>
    <xf numFmtId="0" fontId="0" fillId="5" borderId="23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WSat2-SVN/suns/em4/pcb/SunS_main_board/trunk/OUTPUTS/BOM/SunS_main_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Do NOT Modify"/>
    </sheetNames>
    <sheetDataSet>
      <sheetData sheetId="0">
        <row r="19">
          <cell r="M19">
            <v>264.92999999999995</v>
          </cell>
        </row>
        <row r="20">
          <cell r="M20">
            <v>117.29</v>
          </cell>
        </row>
        <row r="21">
          <cell r="M21">
            <v>10.253</v>
          </cell>
        </row>
      </sheetData>
      <sheetData sheetId="1" refreshError="1"/>
    </sheetDataSet>
  </externalBook>
</externalLink>
</file>

<file path=xl/queryTables/queryTable1.xml><?xml version="1.0" encoding="utf-8"?>
<queryTable xmlns="http://schemas.openxmlformats.org/spreadsheetml/2006/main" name="KursyC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l.mouser.com/ProductDetail/Microchip-Technology-Atmel/ATMEGA1284P-AU/?qs=sGAEpiMZZMutXGli8Ay4kPvU7V9BGPHXTagBRGOCZGY%3d" TargetMode="External"/><Relationship Id="rId13" Type="http://schemas.openxmlformats.org/officeDocument/2006/relationships/hyperlink" Target="http://www.tme.eu/pl/details/tfm-m2x5_dr221/elementy-dystansowe-metalowe/dremec/221x05/" TargetMode="External"/><Relationship Id="rId18" Type="http://schemas.openxmlformats.org/officeDocument/2006/relationships/hyperlink" Target="http://pl.mouser.com/ProductDetail/Measurement-Specialties/PTFC101B1G0/?qs=sGAEpiMZZMtMks3Lma1jFz8v13XRYIULhLm21%2fMHegt85EoD2yuRIQ%3d%3d" TargetMode="External"/><Relationship Id="rId3" Type="http://schemas.openxmlformats.org/officeDocument/2006/relationships/hyperlink" Target="http://pl.mouser.com/ProductDetail/Mill-Max/854-22-009-10-001101/?qs=%2fha2pyFaduj8mSoDOdzxOBNl1CILsqN1aVnsqjUnZkTCVC%252bLskPJ%252brNdxtHjpN4Yg3JHx4CoOjc%3d" TargetMode="External"/><Relationship Id="rId7" Type="http://schemas.openxmlformats.org/officeDocument/2006/relationships/hyperlink" Target="http://www.tme.eu/pl/details/esd108e/przelaczniki-typu-dip-switch/diptronics/dm-08-v/" TargetMode="External"/><Relationship Id="rId12" Type="http://schemas.openxmlformats.org/officeDocument/2006/relationships/hyperlink" Target="http://pl.mouser.com/ProductDetail/ECS/ECS-60-S-1X/?qs=sGAEpiMZZMsBj6bBr9Q9aQVbz5FLOGxj2BW1hFwvckw%3d" TargetMode="External"/><Relationship Id="rId17" Type="http://schemas.openxmlformats.org/officeDocument/2006/relationships/hyperlink" Target="http://pl.mouser.com/ProductDetail/Vishay-Sprague/293D106X9035D2WE3/?qs=sGAEpiMZZMuEN2agSAc2pmB2ujJfk3uTJlNuxUj%2fGL4%3d" TargetMode="External"/><Relationship Id="rId2" Type="http://schemas.openxmlformats.org/officeDocument/2006/relationships/hyperlink" Target="http://pl.mouser.com/ProductDetail/Mill-Max/854-22-004-10-001101/?qs=%2fha2pyFaduj8mSoDOdzxOBNl1CILsqN1kaFW9cW7SNIVPBnkekjeKcc2MNt5bumqwrE0WldwPUY%3d" TargetMode="External"/><Relationship Id="rId16" Type="http://schemas.openxmlformats.org/officeDocument/2006/relationships/hyperlink" Target="http://www.tme.eu/pl/details/mx-67503-1020/zlacza-usb-i-ieee1394/molex/675031020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pl.mouser.com/ProductDetail/Mill-Max/854-22-003-10-001101/?qs=%2fha2pyFaduj8mSoDOdzxOBNl1CILsqN13pe0O43WEjSWpML3XBMgzAHzVnht4XDi9c8%252bjIr1XGQ%3d" TargetMode="External"/><Relationship Id="rId6" Type="http://schemas.openxmlformats.org/officeDocument/2006/relationships/hyperlink" Target="http://www.tme.eu/pl/details/si4403bdy-e3/tranzystory-z-kanalem-p-smd/vishay/" TargetMode="External"/><Relationship Id="rId11" Type="http://schemas.openxmlformats.org/officeDocument/2006/relationships/hyperlink" Target="http://pl.mouser.com/ProductDetail/ABRACON/ABM3B-110592MHZ-10-1-U-T/?qs=%2fha2pyFaduiPXs3%2feWvVmghBQWVfpEOj7ZTIXWozx6o%3d" TargetMode="External"/><Relationship Id="rId5" Type="http://schemas.openxmlformats.org/officeDocument/2006/relationships/hyperlink" Target="http://pl.mouser.com/ProductDetail/Mill-Max/854-22-006-10-001101/?qs=%2fha2pyFaduj8mSoDOdzxOBNl1CILsqN1%2fEFzDP9AzQVdlIL%252bqMWuLHgivf15UCQKWCPocfLyM%252b0%3d" TargetMode="External"/><Relationship Id="rId15" Type="http://schemas.openxmlformats.org/officeDocument/2006/relationships/hyperlink" Target="http://www.tme.eu/pl/details/fix-tp2-10/tuleje-dystansowe-plastikowe/fixfasten/" TargetMode="External"/><Relationship Id="rId10" Type="http://schemas.openxmlformats.org/officeDocument/2006/relationships/hyperlink" Target="http://pl.mouser.com/ProductDetail/Microchip-Technology/MCP1826S-3302E-DB/?qs=sGAEpiMZZMsGz1a6aV8DcJ7KfjtCj7XdzpQOVbegnj4%3d" TargetMode="External"/><Relationship Id="rId19" Type="http://schemas.openxmlformats.org/officeDocument/2006/relationships/hyperlink" Target="http://pl.mouser.com/ProductDetail/Microchip-Technology-Atmel/ATmega128L-8AU/?qs=sGAEpiMZZMvqv2n3s2xjsVIKSdqlAUq6S9QBHv3yhug%3d" TargetMode="External"/><Relationship Id="rId4" Type="http://schemas.openxmlformats.org/officeDocument/2006/relationships/hyperlink" Target="http://www.tme.eu/pl/details/zl319-10p/listwy-i-gniazda-kolkowe/connfly/ds1031-01-1_10p8bv3-1/" TargetMode="External"/><Relationship Id="rId9" Type="http://schemas.openxmlformats.org/officeDocument/2006/relationships/hyperlink" Target="http://pl.mouser.com/ProductDetail/Texas-Instruments/ISO7221ADR/?qs=sGAEpiMZZMssyD0wnx%2fymBb5wqZrYrNlLJSaydkJwic%3d" TargetMode="External"/><Relationship Id="rId14" Type="http://schemas.openxmlformats.org/officeDocument/2006/relationships/hyperlink" Target="http://www.tme.eu/pl/details/fix-hp2-14/tuleje-dystansowe-plastikowe/fixfaste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59"/>
  <sheetViews>
    <sheetView tabSelected="1" zoomScaleNormal="100" workbookViewId="0">
      <pane xSplit="2" ySplit="2" topLeftCell="J38" activePane="bottomRight" state="frozen"/>
      <selection pane="topRight" activeCell="C1" sqref="C1"/>
      <selection pane="bottomLeft" activeCell="A3" sqref="A3"/>
      <selection pane="bottomRight" activeCell="K58" sqref="K58"/>
    </sheetView>
  </sheetViews>
  <sheetFormatPr defaultRowHeight="12.75" x14ac:dyDescent="0.2"/>
  <cols>
    <col min="1" max="1" width="4.85546875" customWidth="1"/>
    <col min="2" max="2" width="18.42578125" customWidth="1"/>
    <col min="3" max="3" width="18.7109375" customWidth="1"/>
    <col min="4" max="5" width="13.28515625" customWidth="1"/>
    <col min="6" max="8" width="13.28515625" hidden="1" customWidth="1"/>
    <col min="9" max="9" width="30.85546875" customWidth="1"/>
    <col min="10" max="10" width="34.140625" customWidth="1"/>
    <col min="11" max="11" width="25.140625" customWidth="1"/>
    <col min="12" max="12" width="13.28515625" customWidth="1"/>
    <col min="13" max="13" width="9.28515625" customWidth="1"/>
    <col min="14" max="14" width="10.42578125" customWidth="1"/>
    <col min="15" max="15" width="13" customWidth="1"/>
    <col min="16" max="16" width="14.85546875" customWidth="1"/>
    <col min="17" max="17" width="141.28515625" customWidth="1"/>
  </cols>
  <sheetData>
    <row r="1" spans="1:17" ht="23.25" customHeight="1" thickBot="1" x14ac:dyDescent="0.25">
      <c r="A1" s="72" t="s">
        <v>1</v>
      </c>
      <c r="B1" s="72"/>
      <c r="C1" s="73" t="s">
        <v>29</v>
      </c>
      <c r="D1" s="74"/>
      <c r="E1" s="74"/>
      <c r="F1" s="74"/>
      <c r="G1" s="74"/>
      <c r="H1" s="74"/>
      <c r="I1" s="74"/>
      <c r="J1" s="74"/>
      <c r="K1" s="56" t="s">
        <v>30</v>
      </c>
      <c r="N1" s="22"/>
      <c r="O1" s="22"/>
      <c r="P1" s="22"/>
      <c r="Q1" s="33"/>
    </row>
    <row r="2" spans="1:17" s="7" customFormat="1" ht="73.5" customHeight="1" thickTop="1" thickBot="1" x14ac:dyDescent="0.25">
      <c r="A2" s="26" t="s">
        <v>0</v>
      </c>
      <c r="B2" s="57" t="s">
        <v>31</v>
      </c>
      <c r="C2" s="59" t="s">
        <v>52</v>
      </c>
      <c r="D2" s="59" t="s">
        <v>82</v>
      </c>
      <c r="E2" s="59" t="s">
        <v>28</v>
      </c>
      <c r="F2" s="59" t="s">
        <v>110</v>
      </c>
      <c r="G2" s="59" t="s">
        <v>111</v>
      </c>
      <c r="H2" s="59" t="s">
        <v>112</v>
      </c>
      <c r="I2" s="25" t="s">
        <v>28</v>
      </c>
      <c r="J2" s="59" t="s">
        <v>113</v>
      </c>
      <c r="K2" s="57" t="s">
        <v>130</v>
      </c>
      <c r="L2" s="24" t="s">
        <v>2</v>
      </c>
      <c r="M2" s="24" t="s">
        <v>3</v>
      </c>
      <c r="N2" s="23" t="s">
        <v>4</v>
      </c>
      <c r="O2" s="21" t="s">
        <v>21</v>
      </c>
      <c r="P2" s="21" t="s">
        <v>5</v>
      </c>
      <c r="Q2" s="51" t="s">
        <v>6</v>
      </c>
    </row>
    <row r="3" spans="1:17" s="8" customFormat="1" ht="77.25" hidden="1" thickTop="1" x14ac:dyDescent="0.2">
      <c r="A3" s="27">
        <f t="shared" ref="A3:A5" si="0">ROW(A3) - ROW($A$2)</f>
        <v>1</v>
      </c>
      <c r="B3" s="58" t="s">
        <v>32</v>
      </c>
      <c r="C3" s="60" t="s">
        <v>53</v>
      </c>
      <c r="D3" s="13">
        <v>17</v>
      </c>
      <c r="E3" s="61" t="s">
        <v>83</v>
      </c>
      <c r="F3" s="13"/>
      <c r="G3" s="13"/>
      <c r="H3" s="13"/>
      <c r="I3" s="9" t="str">
        <f>IF(OR(E3="Generic capacitor", E3="Polarized Capacitor"), (F3&amp;", "&amp;G3&amp;", "&amp;H3), E3)</f>
        <v>Cap</v>
      </c>
      <c r="J3" s="62" t="s">
        <v>83</v>
      </c>
      <c r="K3" s="60" t="s">
        <v>131</v>
      </c>
      <c r="L3" s="10"/>
      <c r="M3" s="10"/>
      <c r="N3" s="10"/>
      <c r="O3" s="10"/>
      <c r="P3" s="49" t="str">
        <f>IF(O3 = "PLN", M3*N3, IF(O3 = "EUR", M3*N3*'Do NOT Modify'!$J$6, IF(O3 = "USD", M3*N3*'Do NOT Modify'!$J$3, IF(O3 = "GBP", M3*N3*'Do NOT Modify'!$J$9, IF(O3= "", "", "CURRENCY ERROR")))))</f>
        <v/>
      </c>
      <c r="Q3" s="52"/>
    </row>
    <row r="4" spans="1:17" s="8" customFormat="1" ht="51.75" hidden="1" thickTop="1" x14ac:dyDescent="0.2">
      <c r="A4" s="27">
        <f t="shared" si="0"/>
        <v>2</v>
      </c>
      <c r="B4" s="58" t="s">
        <v>33</v>
      </c>
      <c r="C4" s="60" t="s">
        <v>54</v>
      </c>
      <c r="D4" s="14">
        <v>1</v>
      </c>
      <c r="E4" s="61" t="s">
        <v>84</v>
      </c>
      <c r="F4" s="13"/>
      <c r="G4" s="13"/>
      <c r="H4" s="13"/>
      <c r="I4" s="9" t="str">
        <f t="shared" ref="I4" si="1">IF(OR(E4="Generic capacitor", E4="Polarized Capacitor"), (F4&amp;", "&amp;G4&amp;", "&amp;H4), E4)</f>
        <v>Ceramic Cap Kemet COTS 1u/25V X7R 1206</v>
      </c>
      <c r="J4" s="60" t="s">
        <v>33</v>
      </c>
      <c r="K4" s="63" t="s">
        <v>132</v>
      </c>
      <c r="L4" s="10"/>
      <c r="M4" s="12"/>
      <c r="N4" s="12"/>
      <c r="O4" s="10"/>
      <c r="P4" s="49" t="str">
        <f>IF(O4 = "PLN", M4*N4, IF(O4 = "EUR", M4*N4*'Do NOT Modify'!$J$6, IF(O4 = "USD", M4*N4*'Do NOT Modify'!$J$3, IF(O4 = "GBP", M4*N4*'Do NOT Modify'!$J$9, IF(O4= "", "", "CURRENCY ERROR")))))</f>
        <v/>
      </c>
      <c r="Q4" s="52"/>
    </row>
    <row r="5" spans="1:17" s="8" customFormat="1" ht="51.75" hidden="1" thickTop="1" x14ac:dyDescent="0.2">
      <c r="A5" s="27">
        <f t="shared" si="0"/>
        <v>3</v>
      </c>
      <c r="B5" s="58" t="s">
        <v>34</v>
      </c>
      <c r="C5" s="60" t="s">
        <v>54</v>
      </c>
      <c r="D5" s="13">
        <v>1</v>
      </c>
      <c r="E5" s="61" t="s">
        <v>84</v>
      </c>
      <c r="F5" s="13"/>
      <c r="G5" s="13"/>
      <c r="H5" s="13"/>
      <c r="I5" s="9" t="str">
        <f t="shared" ref="I5:I26" si="2">IF(OR(E5="Generic capacitor", E5="Polarized Capacitor"), (F5&amp;", "&amp;G5&amp;", "&amp;H5), E5)</f>
        <v>Ceramic Cap Kemet COTS 1u/25V X7R 1206</v>
      </c>
      <c r="J5" s="62" t="s">
        <v>34</v>
      </c>
      <c r="K5" s="60" t="s">
        <v>133</v>
      </c>
      <c r="L5" s="10"/>
      <c r="M5" s="10"/>
      <c r="N5" s="10"/>
      <c r="O5" s="10"/>
      <c r="P5" s="49" t="str">
        <f>IF(O5 = "PLN", M5*N5, IF(O5 = "EUR", M5*N5*'Do NOT Modify'!$J$6, IF(O5 = "USD", M5*N5*'Do NOT Modify'!$J$3, IF(O5 = "GBP", M5*N5*'Do NOT Modify'!$J$9, IF(O5= "", "", "CURRENCY ERROR")))))</f>
        <v/>
      </c>
      <c r="Q5" s="52"/>
    </row>
    <row r="6" spans="1:17" s="8" customFormat="1" ht="51.75" hidden="1" thickTop="1" x14ac:dyDescent="0.2">
      <c r="A6" s="76">
        <f t="shared" ref="A6:A50" si="3">ROW(A6) - ROW($A$2)</f>
        <v>4</v>
      </c>
      <c r="B6" s="58" t="s">
        <v>34</v>
      </c>
      <c r="C6" s="60" t="s">
        <v>55</v>
      </c>
      <c r="D6" s="14">
        <v>1</v>
      </c>
      <c r="E6" s="61" t="s">
        <v>85</v>
      </c>
      <c r="F6" s="13"/>
      <c r="G6" s="13"/>
      <c r="H6" s="13"/>
      <c r="I6" s="9" t="str">
        <f t="shared" si="2"/>
        <v>Tantalum Capacitor CWR11 10u/22V.</v>
      </c>
      <c r="J6" s="60" t="s">
        <v>34</v>
      </c>
      <c r="K6" s="63" t="s">
        <v>134</v>
      </c>
      <c r="L6" s="65" t="s">
        <v>263</v>
      </c>
      <c r="M6" s="12">
        <v>2</v>
      </c>
      <c r="N6" s="12">
        <v>2.08</v>
      </c>
      <c r="O6" s="65" t="s">
        <v>18</v>
      </c>
      <c r="P6" s="49">
        <f>IF(O6 = "PLN", M6*N6, IF(O6 = "EUR", M6*N6*'Do NOT Modify'!$J$6, IF(O6 = "USD", M6*N6*'Do NOT Modify'!$J$3, IF(O6 = "GBP", M6*N6*'Do NOT Modify'!$J$9, IF(O6= "", "", "CURRENCY ERROR")))))</f>
        <v>4.16</v>
      </c>
      <c r="Q6" s="66" t="s">
        <v>229</v>
      </c>
    </row>
    <row r="7" spans="1:17" s="8" customFormat="1" ht="51.75" hidden="1" thickTop="1" x14ac:dyDescent="0.2">
      <c r="A7" s="27">
        <f t="shared" si="3"/>
        <v>5</v>
      </c>
      <c r="B7" s="58" t="s">
        <v>35</v>
      </c>
      <c r="C7" s="60" t="s">
        <v>56</v>
      </c>
      <c r="D7" s="13">
        <v>4</v>
      </c>
      <c r="E7" s="61" t="s">
        <v>86</v>
      </c>
      <c r="F7" s="13"/>
      <c r="G7" s="13"/>
      <c r="H7" s="13"/>
      <c r="I7" s="9" t="str">
        <f t="shared" si="2"/>
        <v>Ceramic Cap Kemet COTS 100n/100V X7R 0805</v>
      </c>
      <c r="J7" s="62" t="s">
        <v>35</v>
      </c>
      <c r="K7" s="60" t="s">
        <v>135</v>
      </c>
      <c r="L7" s="10"/>
      <c r="M7" s="10"/>
      <c r="N7" s="10"/>
      <c r="O7" s="65" t="s">
        <v>18</v>
      </c>
      <c r="P7" s="49">
        <f>IF(O7 = "PLN", M7*N7, IF(O7 = "EUR", M7*N7*'Do NOT Modify'!$J$6, IF(O7 = "USD", M7*N7*'Do NOT Modify'!$J$3, IF(O7 = "GBP", M7*N7*'Do NOT Modify'!$J$9, IF(O7= "", "", "CURRENCY ERROR")))))</f>
        <v>0</v>
      </c>
      <c r="Q7" s="52"/>
    </row>
    <row r="8" spans="1:17" s="8" customFormat="1" ht="77.25" hidden="1" thickTop="1" x14ac:dyDescent="0.2">
      <c r="A8" s="27">
        <f t="shared" si="3"/>
        <v>6</v>
      </c>
      <c r="B8" s="58" t="s">
        <v>36</v>
      </c>
      <c r="C8" s="60" t="s">
        <v>57</v>
      </c>
      <c r="D8" s="14">
        <v>4</v>
      </c>
      <c r="E8" s="61" t="s">
        <v>87</v>
      </c>
      <c r="F8" s="13"/>
      <c r="G8" s="13"/>
      <c r="H8" s="13"/>
      <c r="I8" s="9" t="str">
        <f t="shared" si="2"/>
        <v>1k/1% Vishay CRCW 0805 Resistor. 125mW, 100ppm, 150V.</v>
      </c>
      <c r="J8" s="60" t="s">
        <v>36</v>
      </c>
      <c r="K8" s="63" t="s">
        <v>136</v>
      </c>
      <c r="L8" s="10"/>
      <c r="M8" s="12"/>
      <c r="N8" s="12"/>
      <c r="O8" s="65" t="s">
        <v>18</v>
      </c>
      <c r="P8" s="49">
        <f>IF(O8 = "PLN", M8*N8, IF(O8 = "EUR", M8*N8*'Do NOT Modify'!$J$6, IF(O8 = "USD", M8*N8*'Do NOT Modify'!$J$3, IF(O8 = "GBP", M8*N8*'Do NOT Modify'!$J$9, IF(O8= "", "", "CURRENCY ERROR")))))</f>
        <v>0</v>
      </c>
      <c r="Q8" s="52"/>
    </row>
    <row r="9" spans="1:17" s="8" customFormat="1" ht="13.5" hidden="1" thickTop="1" x14ac:dyDescent="0.2">
      <c r="A9" s="27">
        <f t="shared" si="3"/>
        <v>7</v>
      </c>
      <c r="B9" s="58" t="s">
        <v>37</v>
      </c>
      <c r="C9" s="60" t="s">
        <v>58</v>
      </c>
      <c r="D9" s="13">
        <v>5</v>
      </c>
      <c r="E9" s="61" t="s">
        <v>88</v>
      </c>
      <c r="F9" s="13"/>
      <c r="G9" s="13"/>
      <c r="H9" s="13"/>
      <c r="I9" s="9" t="str">
        <f t="shared" si="2"/>
        <v>Typical LED</v>
      </c>
      <c r="J9" s="62" t="s">
        <v>114</v>
      </c>
      <c r="K9" s="60" t="s">
        <v>137</v>
      </c>
      <c r="L9" s="10"/>
      <c r="M9" s="10"/>
      <c r="N9" s="10"/>
      <c r="O9" s="65" t="s">
        <v>18</v>
      </c>
      <c r="P9" s="49">
        <f>IF(O9 = "PLN", M9*N9, IF(O9 = "EUR", M9*N9*'Do NOT Modify'!$J$6, IF(O9 = "USD", M9*N9*'Do NOT Modify'!$J$3, IF(O9 = "GBP", M9*N9*'Do NOT Modify'!$J$9, IF(O9= "", "", "CURRENCY ERROR")))))</f>
        <v>0</v>
      </c>
      <c r="Q9" s="52"/>
    </row>
    <row r="10" spans="1:17" s="8" customFormat="1" ht="39" hidden="1" thickTop="1" x14ac:dyDescent="0.2">
      <c r="A10" s="27">
        <f t="shared" si="3"/>
        <v>8</v>
      </c>
      <c r="B10" s="58" t="s">
        <v>38</v>
      </c>
      <c r="C10" s="60" t="s">
        <v>59</v>
      </c>
      <c r="D10" s="14">
        <v>3</v>
      </c>
      <c r="E10" s="61" t="s">
        <v>89</v>
      </c>
      <c r="F10" s="13"/>
      <c r="G10" s="13"/>
      <c r="H10" s="13"/>
      <c r="I10" s="9" t="str">
        <f t="shared" si="2"/>
        <v>Ferrite bead, 1206, 0.02HM, 3.5A.</v>
      </c>
      <c r="J10" s="60" t="s">
        <v>38</v>
      </c>
      <c r="K10" s="63" t="s">
        <v>138</v>
      </c>
      <c r="L10" s="10"/>
      <c r="M10" s="12"/>
      <c r="N10" s="12"/>
      <c r="O10" s="65" t="s">
        <v>18</v>
      </c>
      <c r="P10" s="49">
        <f>IF(O10 = "PLN", M10*N10, IF(O10 = "EUR", M10*N10*'Do NOT Modify'!$J$6, IF(O10 = "USD", M10*N10*'Do NOT Modify'!$J$3, IF(O10 = "GBP", M10*N10*'Do NOT Modify'!$J$9, IF(O10= "", "", "CURRENCY ERROR")))))</f>
        <v>0</v>
      </c>
      <c r="Q10" s="52"/>
    </row>
    <row r="11" spans="1:17" s="8" customFormat="1" ht="26.25" hidden="1" thickTop="1" x14ac:dyDescent="0.2">
      <c r="A11" s="27">
        <f t="shared" si="3"/>
        <v>9</v>
      </c>
      <c r="B11" s="58" t="s">
        <v>39</v>
      </c>
      <c r="C11" s="60" t="s">
        <v>60</v>
      </c>
      <c r="D11" s="13">
        <v>4</v>
      </c>
      <c r="E11" s="61" t="s">
        <v>90</v>
      </c>
      <c r="F11" s="13"/>
      <c r="G11" s="13"/>
      <c r="H11" s="13"/>
      <c r="I11" s="9" t="str">
        <f t="shared" si="2"/>
        <v>PCB Mounting Hole</v>
      </c>
      <c r="J11" s="62" t="s">
        <v>39</v>
      </c>
      <c r="K11" s="60" t="s">
        <v>139</v>
      </c>
      <c r="L11" s="10"/>
      <c r="M11" s="10"/>
      <c r="N11" s="10"/>
      <c r="O11" s="65" t="s">
        <v>18</v>
      </c>
      <c r="P11" s="49">
        <f>IF(O11 = "PLN", M11*N11, IF(O11 = "EUR", M11*N11*'Do NOT Modify'!$J$6, IF(O11 = "USD", M11*N11*'Do NOT Modify'!$J$3, IF(O11 = "GBP", M11*N11*'Do NOT Modify'!$J$9, IF(O11= "", "", "CURRENCY ERROR")))))</f>
        <v>0</v>
      </c>
      <c r="Q11" s="52"/>
    </row>
    <row r="12" spans="1:17" s="8" customFormat="1" ht="39" thickTop="1" x14ac:dyDescent="0.2">
      <c r="A12" s="27">
        <f t="shared" si="3"/>
        <v>10</v>
      </c>
      <c r="B12" s="58" t="s">
        <v>41</v>
      </c>
      <c r="C12" s="60" t="s">
        <v>73</v>
      </c>
      <c r="D12" s="14">
        <v>1</v>
      </c>
      <c r="E12" s="61" t="s">
        <v>102</v>
      </c>
      <c r="F12" s="13"/>
      <c r="G12" s="13"/>
      <c r="H12" s="13"/>
      <c r="I12" s="9" t="str">
        <f t="shared" si="2"/>
        <v>P-Channel 1.8 V (G-S) MOSFET</v>
      </c>
      <c r="J12" s="70" t="s">
        <v>41</v>
      </c>
      <c r="K12" s="63" t="s">
        <v>156</v>
      </c>
      <c r="L12" s="65" t="s">
        <v>7</v>
      </c>
      <c r="M12" s="12">
        <v>1</v>
      </c>
      <c r="N12" s="12">
        <v>1.96</v>
      </c>
      <c r="O12" s="65" t="s">
        <v>18</v>
      </c>
      <c r="P12" s="49">
        <f>IF(O12 = "PLN", M12*N12, IF(O12 = "EUR", M12*N12*'Do NOT Modify'!$J$6, IF(O12 = "USD", M12*N12*'Do NOT Modify'!$J$3, IF(O12 = "GBP", M12*N12*'Do NOT Modify'!$J$9, IF(O12= "", "", "CURRENCY ERROR")))))</f>
        <v>1.96</v>
      </c>
      <c r="Q12" s="66" t="s">
        <v>211</v>
      </c>
    </row>
    <row r="13" spans="1:17" s="8" customFormat="1" ht="38.25" hidden="1" x14ac:dyDescent="0.2">
      <c r="A13" s="27">
        <f t="shared" si="3"/>
        <v>11</v>
      </c>
      <c r="B13" s="58" t="s">
        <v>39</v>
      </c>
      <c r="C13" s="60" t="s">
        <v>62</v>
      </c>
      <c r="D13" s="13">
        <v>4</v>
      </c>
      <c r="E13" s="61" t="s">
        <v>90</v>
      </c>
      <c r="F13" s="13"/>
      <c r="G13" s="13"/>
      <c r="H13" s="13"/>
      <c r="I13" s="9" t="str">
        <f t="shared" si="2"/>
        <v>PCB Mounting Hole</v>
      </c>
      <c r="J13" s="62" t="s">
        <v>39</v>
      </c>
      <c r="K13" s="60" t="s">
        <v>141</v>
      </c>
      <c r="L13" s="10"/>
      <c r="M13" s="10"/>
      <c r="N13" s="10"/>
      <c r="O13" s="65" t="s">
        <v>18</v>
      </c>
      <c r="P13" s="49">
        <f>IF(O13 = "PLN", M13*N13, IF(O13 = "EUR", M13*N13*'Do NOT Modify'!$J$6, IF(O13 = "USD", M13*N13*'Do NOT Modify'!$J$3, IF(O13 = "GBP", M13*N13*'Do NOT Modify'!$J$9, IF(O13= "", "", "CURRENCY ERROR")))))</f>
        <v>0</v>
      </c>
      <c r="Q13" s="52"/>
    </row>
    <row r="14" spans="1:17" s="8" customFormat="1" ht="25.5" hidden="1" x14ac:dyDescent="0.2">
      <c r="A14" s="76">
        <f t="shared" si="3"/>
        <v>12</v>
      </c>
      <c r="B14" s="58" t="s">
        <v>51</v>
      </c>
      <c r="C14" s="67" t="s">
        <v>219</v>
      </c>
      <c r="D14" s="14">
        <v>1</v>
      </c>
      <c r="E14" s="61" t="s">
        <v>109</v>
      </c>
      <c r="F14" s="13"/>
      <c r="G14" s="13"/>
      <c r="H14" s="13"/>
      <c r="I14" s="9" t="str">
        <f t="shared" si="2"/>
        <v>Resonator Ceramic</v>
      </c>
      <c r="J14" s="70" t="s">
        <v>51</v>
      </c>
      <c r="K14" s="63" t="s">
        <v>172</v>
      </c>
      <c r="L14" s="65" t="s">
        <v>263</v>
      </c>
      <c r="M14" s="12">
        <v>1</v>
      </c>
      <c r="N14" s="12">
        <v>2.41</v>
      </c>
      <c r="O14" s="65" t="s">
        <v>18</v>
      </c>
      <c r="P14" s="49">
        <f>IF(O14 = "PLN", M14*N14, IF(O14 = "EUR", M14*N14*'Do NOT Modify'!$J$6, IF(O14 = "USD", M14*N14*'Do NOT Modify'!$J$3, IF(O14 = "GBP", M14*N14*'Do NOT Modify'!$J$9, IF(O14= "", "", "CURRENCY ERROR")))))</f>
        <v>2.41</v>
      </c>
      <c r="Q14" s="66" t="s">
        <v>220</v>
      </c>
    </row>
    <row r="15" spans="1:17" s="8" customFormat="1" hidden="1" x14ac:dyDescent="0.2">
      <c r="A15" s="27">
        <f t="shared" si="3"/>
        <v>13</v>
      </c>
      <c r="B15" s="58" t="s">
        <v>37</v>
      </c>
      <c r="C15" s="60" t="s">
        <v>64</v>
      </c>
      <c r="D15" s="13">
        <v>1</v>
      </c>
      <c r="E15" s="61" t="s">
        <v>93</v>
      </c>
      <c r="F15" s="13"/>
      <c r="G15" s="13"/>
      <c r="H15" s="13"/>
      <c r="I15" s="9" t="str">
        <f t="shared" si="2"/>
        <v>Header, 4-Pin</v>
      </c>
      <c r="J15" s="62" t="s">
        <v>116</v>
      </c>
      <c r="K15" s="60" t="s">
        <v>143</v>
      </c>
      <c r="L15" s="10"/>
      <c r="M15" s="10"/>
      <c r="N15" s="10"/>
      <c r="O15" s="65" t="s">
        <v>18</v>
      </c>
      <c r="P15" s="49">
        <f>IF(O15 = "PLN", M15*N15, IF(O15 = "EUR", M15*N15*'Do NOT Modify'!$J$6, IF(O15 = "USD", M15*N15*'Do NOT Modify'!$J$3, IF(O15 = "GBP", M15*N15*'Do NOT Modify'!$J$9, IF(O15= "", "", "CURRENCY ERROR")))))</f>
        <v>0</v>
      </c>
      <c r="Q15" s="52"/>
    </row>
    <row r="16" spans="1:17" s="8" customFormat="1" ht="38.25" x14ac:dyDescent="0.2">
      <c r="A16" s="27">
        <f t="shared" si="3"/>
        <v>14</v>
      </c>
      <c r="B16" s="58" t="s">
        <v>37</v>
      </c>
      <c r="C16" s="60" t="s">
        <v>61</v>
      </c>
      <c r="D16" s="14">
        <v>1</v>
      </c>
      <c r="E16" s="61" t="s">
        <v>91</v>
      </c>
      <c r="F16" s="13"/>
      <c r="G16" s="13"/>
      <c r="H16" s="13"/>
      <c r="I16" s="9" t="str">
        <f t="shared" si="2"/>
        <v>Connector SMD USB Type Mini-B</v>
      </c>
      <c r="J16" s="60" t="s">
        <v>115</v>
      </c>
      <c r="K16" s="63" t="s">
        <v>140</v>
      </c>
      <c r="L16" s="65" t="s">
        <v>7</v>
      </c>
      <c r="M16" s="12">
        <v>2</v>
      </c>
      <c r="N16" s="12">
        <v>1.39</v>
      </c>
      <c r="O16" s="65" t="s">
        <v>18</v>
      </c>
      <c r="P16" s="49">
        <f>IF(O16 = "PLN", M16*N16, IF(O16 = "EUR", M16*N16*'Do NOT Modify'!$J$6, IF(O16 = "USD", M16*N16*'Do NOT Modify'!$J$3, IF(O16 = "GBP", M16*N16*'Do NOT Modify'!$J$9, IF(O16= "", "", "CURRENCY ERROR")))))</f>
        <v>2.78</v>
      </c>
      <c r="Q16" s="66" t="s">
        <v>228</v>
      </c>
    </row>
    <row r="17" spans="1:17" s="8" customFormat="1" ht="102" hidden="1" x14ac:dyDescent="0.2">
      <c r="A17" s="76">
        <f t="shared" si="3"/>
        <v>15</v>
      </c>
      <c r="B17" s="58" t="s">
        <v>129</v>
      </c>
      <c r="C17" s="60" t="s">
        <v>80</v>
      </c>
      <c r="D17" s="13">
        <v>1</v>
      </c>
      <c r="E17" s="61" t="s">
        <v>108</v>
      </c>
      <c r="F17" s="13"/>
      <c r="G17" s="13"/>
      <c r="H17" s="13"/>
      <c r="I17" s="9" t="str">
        <f t="shared" si="2"/>
        <v>1000 mA, Low Voltage, Low Quiescent Current LDO Regulator, 3-Pin SOT-223, Extended Temperature</v>
      </c>
      <c r="J17" s="62" t="s">
        <v>129</v>
      </c>
      <c r="K17" s="60" t="s">
        <v>170</v>
      </c>
      <c r="L17" s="65" t="s">
        <v>263</v>
      </c>
      <c r="M17" s="10">
        <v>1</v>
      </c>
      <c r="N17" s="10">
        <v>2.97</v>
      </c>
      <c r="O17" s="65" t="s">
        <v>18</v>
      </c>
      <c r="P17" s="49">
        <f>IF(O17 = "PLN", M17*N17, IF(O17 = "EUR", M17*N17*'Do NOT Modify'!$J$6, IF(O17 = "USD", M17*N17*'Do NOT Modify'!$J$3, IF(O17 = "GBP", M17*N17*'Do NOT Modify'!$J$9, IF(O17= "", "", "CURRENCY ERROR")))))</f>
        <v>2.97</v>
      </c>
      <c r="Q17" s="66" t="s">
        <v>217</v>
      </c>
    </row>
    <row r="18" spans="1:17" s="8" customFormat="1" ht="25.5" hidden="1" x14ac:dyDescent="0.2">
      <c r="A18" s="27">
        <f t="shared" si="3"/>
        <v>16</v>
      </c>
      <c r="B18" s="58" t="s">
        <v>37</v>
      </c>
      <c r="C18" s="60" t="s">
        <v>67</v>
      </c>
      <c r="D18" s="14">
        <v>1</v>
      </c>
      <c r="E18" s="61" t="s">
        <v>96</v>
      </c>
      <c r="F18" s="13"/>
      <c r="G18" s="13"/>
      <c r="H18" s="13"/>
      <c r="I18" s="9" t="str">
        <f t="shared" si="2"/>
        <v>Header, 5-Pin, Dual row</v>
      </c>
      <c r="J18" s="60" t="s">
        <v>118</v>
      </c>
      <c r="K18" s="63" t="s">
        <v>146</v>
      </c>
      <c r="L18" s="10"/>
      <c r="M18" s="12"/>
      <c r="N18" s="12"/>
      <c r="O18" s="65" t="s">
        <v>18</v>
      </c>
      <c r="P18" s="49">
        <f>IF(O18 = "PLN", M18*N18, IF(O18 = "EUR", M18*N18*'Do NOT Modify'!$J$6, IF(O18 = "USD", M18*N18*'Do NOT Modify'!$J$3, IF(O18 = "GBP", M18*N18*'Do NOT Modify'!$J$9, IF(O18= "", "", "CURRENCY ERROR")))))</f>
        <v>0</v>
      </c>
      <c r="Q18" s="52"/>
    </row>
    <row r="19" spans="1:17" s="8" customFormat="1" ht="25.5" hidden="1" x14ac:dyDescent="0.2">
      <c r="A19" s="27">
        <f t="shared" si="3"/>
        <v>17</v>
      </c>
      <c r="B19" s="58" t="s">
        <v>37</v>
      </c>
      <c r="C19" s="60" t="s">
        <v>67</v>
      </c>
      <c r="D19" s="13">
        <v>1</v>
      </c>
      <c r="E19" s="61" t="s">
        <v>96</v>
      </c>
      <c r="F19" s="13"/>
      <c r="G19" s="13"/>
      <c r="H19" s="13"/>
      <c r="I19" s="9" t="str">
        <f t="shared" si="2"/>
        <v>Header, 5-Pin, Dual row</v>
      </c>
      <c r="J19" s="62" t="s">
        <v>117</v>
      </c>
      <c r="K19" s="60" t="s">
        <v>147</v>
      </c>
      <c r="L19" s="10"/>
      <c r="M19" s="10"/>
      <c r="N19" s="10"/>
      <c r="O19" s="65" t="s">
        <v>18</v>
      </c>
      <c r="P19" s="49">
        <f>IF(O19 = "PLN", M19*N19, IF(O19 = "EUR", M19*N19*'Do NOT Modify'!$J$6, IF(O19 = "USD", M19*N19*'Do NOT Modify'!$J$3, IF(O19 = "GBP", M19*N19*'Do NOT Modify'!$J$9, IF(O19= "", "", "CURRENCY ERROR")))))</f>
        <v>0</v>
      </c>
      <c r="Q19" s="52"/>
    </row>
    <row r="20" spans="1:17" s="8" customFormat="1" hidden="1" x14ac:dyDescent="0.2">
      <c r="A20" s="27">
        <f t="shared" si="3"/>
        <v>18</v>
      </c>
      <c r="B20" s="58" t="s">
        <v>37</v>
      </c>
      <c r="C20" s="60" t="s">
        <v>68</v>
      </c>
      <c r="D20" s="14">
        <v>4</v>
      </c>
      <c r="E20" s="61" t="s">
        <v>97</v>
      </c>
      <c r="F20" s="13"/>
      <c r="G20" s="13"/>
      <c r="H20" s="13"/>
      <c r="I20" s="9" t="str">
        <f t="shared" si="2"/>
        <v>Header, 9-Pin</v>
      </c>
      <c r="J20" s="60" t="s">
        <v>119</v>
      </c>
      <c r="K20" s="63" t="s">
        <v>148</v>
      </c>
      <c r="L20" s="10"/>
      <c r="M20" s="12"/>
      <c r="N20" s="12"/>
      <c r="O20" s="65" t="s">
        <v>18</v>
      </c>
      <c r="P20" s="49">
        <f>IF(O20 = "PLN", M20*N20, IF(O20 = "EUR", M20*N20*'Do NOT Modify'!$J$6, IF(O20 = "USD", M20*N20*'Do NOT Modify'!$J$3, IF(O20 = "GBP", M20*N20*'Do NOT Modify'!$J$9, IF(O20= "", "", "CURRENCY ERROR")))))</f>
        <v>0</v>
      </c>
      <c r="Q20" s="52"/>
    </row>
    <row r="21" spans="1:17" s="8" customFormat="1" hidden="1" x14ac:dyDescent="0.2">
      <c r="A21" s="27">
        <f t="shared" si="3"/>
        <v>19</v>
      </c>
      <c r="B21" s="58" t="s">
        <v>37</v>
      </c>
      <c r="C21" s="60" t="s">
        <v>64</v>
      </c>
      <c r="D21" s="13">
        <v>1</v>
      </c>
      <c r="E21" s="61" t="s">
        <v>93</v>
      </c>
      <c r="F21" s="13"/>
      <c r="G21" s="13"/>
      <c r="H21" s="13"/>
      <c r="I21" s="9" t="str">
        <f t="shared" si="2"/>
        <v>Header, 4-Pin</v>
      </c>
      <c r="J21" s="62" t="s">
        <v>120</v>
      </c>
      <c r="K21" s="60" t="s">
        <v>149</v>
      </c>
      <c r="L21" s="10"/>
      <c r="M21" s="10"/>
      <c r="N21" s="10"/>
      <c r="O21" s="65" t="s">
        <v>18</v>
      </c>
      <c r="P21" s="49">
        <f>IF(O21 = "PLN", M21*N21, IF(O21 = "EUR", M21*N21*'Do NOT Modify'!$J$6, IF(O21 = "USD", M21*N21*'Do NOT Modify'!$J$3, IF(O21 = "GBP", M21*N21*'Do NOT Modify'!$J$9, IF(O21= "", "", "CURRENCY ERROR")))))</f>
        <v>0</v>
      </c>
      <c r="Q21" s="52"/>
    </row>
    <row r="22" spans="1:17" s="8" customFormat="1" hidden="1" x14ac:dyDescent="0.2">
      <c r="A22" s="27">
        <f t="shared" si="3"/>
        <v>20</v>
      </c>
      <c r="B22" s="58" t="s">
        <v>37</v>
      </c>
      <c r="C22" s="60" t="s">
        <v>68</v>
      </c>
      <c r="D22" s="14">
        <v>2</v>
      </c>
      <c r="E22" s="61" t="s">
        <v>97</v>
      </c>
      <c r="F22" s="13"/>
      <c r="G22" s="13"/>
      <c r="H22" s="13"/>
      <c r="I22" s="9" t="str">
        <f t="shared" si="2"/>
        <v>Header, 9-Pin</v>
      </c>
      <c r="J22" s="60" t="s">
        <v>121</v>
      </c>
      <c r="K22" s="63" t="s">
        <v>150</v>
      </c>
      <c r="L22" s="10"/>
      <c r="M22" s="12"/>
      <c r="N22" s="12"/>
      <c r="O22" s="65" t="s">
        <v>18</v>
      </c>
      <c r="P22" s="49">
        <f>IF(O22 = "PLN", M22*N22, IF(O22 = "EUR", M22*N22*'Do NOT Modify'!$J$6, IF(O22 = "USD", M22*N22*'Do NOT Modify'!$J$3, IF(O22 = "GBP", M22*N22*'Do NOT Modify'!$J$9, IF(O22= "", "", "CURRENCY ERROR")))))</f>
        <v>0</v>
      </c>
      <c r="Q22" s="52"/>
    </row>
    <row r="23" spans="1:17" s="8" customFormat="1" hidden="1" x14ac:dyDescent="0.2">
      <c r="A23" s="27">
        <f t="shared" si="3"/>
        <v>21</v>
      </c>
      <c r="B23" s="58" t="s">
        <v>37</v>
      </c>
      <c r="C23" s="60" t="s">
        <v>69</v>
      </c>
      <c r="D23" s="13">
        <v>1</v>
      </c>
      <c r="E23" s="61" t="s">
        <v>98</v>
      </c>
      <c r="F23" s="13"/>
      <c r="G23" s="13"/>
      <c r="H23" s="13"/>
      <c r="I23" s="9" t="str">
        <f t="shared" si="2"/>
        <v>Header, 3-Pin</v>
      </c>
      <c r="J23" s="62" t="s">
        <v>122</v>
      </c>
      <c r="K23" s="60" t="s">
        <v>151</v>
      </c>
      <c r="L23" s="10"/>
      <c r="M23" s="10"/>
      <c r="N23" s="10"/>
      <c r="O23" s="65" t="s">
        <v>18</v>
      </c>
      <c r="P23" s="49">
        <f>IF(O23 = "PLN", M23*N23, IF(O23 = "EUR", M23*N23*'Do NOT Modify'!$J$6, IF(O23 = "USD", M23*N23*'Do NOT Modify'!$J$3, IF(O23 = "GBP", M23*N23*'Do NOT Modify'!$J$9, IF(O23= "", "", "CURRENCY ERROR")))))</f>
        <v>0</v>
      </c>
      <c r="Q23" s="52"/>
    </row>
    <row r="24" spans="1:17" s="8" customFormat="1" hidden="1" x14ac:dyDescent="0.2">
      <c r="A24" s="27">
        <f t="shared" si="3"/>
        <v>22</v>
      </c>
      <c r="B24" s="58" t="s">
        <v>37</v>
      </c>
      <c r="C24" s="60" t="s">
        <v>70</v>
      </c>
      <c r="D24" s="14">
        <v>1</v>
      </c>
      <c r="E24" s="61" t="s">
        <v>99</v>
      </c>
      <c r="F24" s="13"/>
      <c r="G24" s="13"/>
      <c r="H24" s="13"/>
      <c r="I24" s="9" t="str">
        <f t="shared" si="2"/>
        <v>Header, 2-Pin</v>
      </c>
      <c r="J24" s="60" t="s">
        <v>123</v>
      </c>
      <c r="K24" s="63" t="s">
        <v>152</v>
      </c>
      <c r="L24" s="10"/>
      <c r="M24" s="12"/>
      <c r="N24" s="12"/>
      <c r="O24" s="65" t="s">
        <v>18</v>
      </c>
      <c r="P24" s="49">
        <f>IF(O24 = "PLN", M24*N24, IF(O24 = "EUR", M24*N24*'Do NOT Modify'!$J$6, IF(O24 = "USD", M24*N24*'Do NOT Modify'!$J$3, IF(O24 = "GBP", M24*N24*'Do NOT Modify'!$J$9, IF(O24= "", "", "CURRENCY ERROR")))))</f>
        <v>0</v>
      </c>
      <c r="Q24" s="52"/>
    </row>
    <row r="25" spans="1:17" s="8" customFormat="1" hidden="1" x14ac:dyDescent="0.2">
      <c r="A25" s="27">
        <f t="shared" si="3"/>
        <v>23</v>
      </c>
      <c r="B25" s="58" t="s">
        <v>37</v>
      </c>
      <c r="C25" s="60" t="s">
        <v>68</v>
      </c>
      <c r="D25" s="13">
        <v>2</v>
      </c>
      <c r="E25" s="61" t="s">
        <v>97</v>
      </c>
      <c r="F25" s="13"/>
      <c r="G25" s="13"/>
      <c r="H25" s="13"/>
      <c r="I25" s="9" t="str">
        <f t="shared" si="2"/>
        <v>Header, 9-Pin</v>
      </c>
      <c r="J25" s="62" t="s">
        <v>124</v>
      </c>
      <c r="K25" s="60" t="s">
        <v>153</v>
      </c>
      <c r="L25" s="10"/>
      <c r="M25" s="10"/>
      <c r="N25" s="10"/>
      <c r="O25" s="65" t="s">
        <v>18</v>
      </c>
      <c r="P25" s="49">
        <f>IF(O25 = "PLN", M25*N25, IF(O25 = "EUR", M25*N25*'Do NOT Modify'!$J$6, IF(O25 = "USD", M25*N25*'Do NOT Modify'!$J$3, IF(O25 = "GBP", M25*N25*'Do NOT Modify'!$J$9, IF(O25= "", "", "CURRENCY ERROR")))))</f>
        <v>0</v>
      </c>
      <c r="Q25" s="52"/>
    </row>
    <row r="26" spans="1:17" s="8" customFormat="1" hidden="1" x14ac:dyDescent="0.2">
      <c r="A26" s="27">
        <f t="shared" si="3"/>
        <v>24</v>
      </c>
      <c r="B26" s="58" t="s">
        <v>37</v>
      </c>
      <c r="C26" s="60" t="s">
        <v>71</v>
      </c>
      <c r="D26" s="14">
        <v>1</v>
      </c>
      <c r="E26" s="61" t="s">
        <v>99</v>
      </c>
      <c r="F26" s="13"/>
      <c r="G26" s="13"/>
      <c r="H26" s="13"/>
      <c r="I26" s="9" t="str">
        <f t="shared" si="2"/>
        <v>Header, 2-Pin</v>
      </c>
      <c r="J26" s="60" t="s">
        <v>125</v>
      </c>
      <c r="K26" s="63" t="s">
        <v>154</v>
      </c>
      <c r="L26" s="10"/>
      <c r="M26" s="12"/>
      <c r="N26" s="12"/>
      <c r="O26" s="65" t="s">
        <v>18</v>
      </c>
      <c r="P26" s="49">
        <f>IF(O26 = "PLN", M26*N26, IF(O26 = "EUR", M26*N26*'Do NOT Modify'!$J$6, IF(O26 = "USD", M26*N26*'Do NOT Modify'!$J$3, IF(O26 = "GBP", M26*N26*'Do NOT Modify'!$J$9, IF(O26= "", "", "CURRENCY ERROR")))))</f>
        <v>0</v>
      </c>
      <c r="Q26" s="52"/>
    </row>
    <row r="27" spans="1:17" s="8" customFormat="1" x14ac:dyDescent="0.2">
      <c r="A27" s="27">
        <f t="shared" si="3"/>
        <v>25</v>
      </c>
      <c r="B27" s="64" t="s">
        <v>221</v>
      </c>
      <c r="C27" s="60"/>
      <c r="D27" s="13">
        <v>4</v>
      </c>
      <c r="E27" s="61"/>
      <c r="F27" s="13"/>
      <c r="G27" s="13"/>
      <c r="H27" s="13"/>
      <c r="I27" s="9"/>
      <c r="J27" s="68"/>
      <c r="K27" s="60"/>
      <c r="L27" s="65" t="s">
        <v>7</v>
      </c>
      <c r="M27" s="10">
        <v>10</v>
      </c>
      <c r="N27" s="10">
        <v>0.42580000000000001</v>
      </c>
      <c r="O27" s="65" t="s">
        <v>18</v>
      </c>
      <c r="P27" s="49">
        <f>IF(O27 = "PLN", M27*N27, IF(O27 = "EUR", M27*N27*'Do NOT Modify'!$J$6, IF(O27 = "USD", M27*N27*'Do NOT Modify'!$J$3, IF(O27 = "GBP", M27*N27*'Do NOT Modify'!$J$9, IF(O27= "", "", "CURRENCY ERROR")))))</f>
        <v>4.258</v>
      </c>
      <c r="Q27" s="66" t="s">
        <v>222</v>
      </c>
    </row>
    <row r="28" spans="1:17" s="8" customFormat="1" ht="25.5" hidden="1" x14ac:dyDescent="0.2">
      <c r="A28" s="76">
        <f t="shared" si="3"/>
        <v>26</v>
      </c>
      <c r="B28" s="64" t="s">
        <v>204</v>
      </c>
      <c r="C28" s="60" t="s">
        <v>81</v>
      </c>
      <c r="D28" s="14">
        <v>1</v>
      </c>
      <c r="E28" s="61" t="s">
        <v>109</v>
      </c>
      <c r="F28" s="13"/>
      <c r="G28" s="13"/>
      <c r="H28" s="13"/>
      <c r="I28" s="9" t="str">
        <f>IF(OR(E28="Generic capacitor", E28="Polarized Capacitor"), (F28&amp;", "&amp;G28&amp;", "&amp;H28), E28)</f>
        <v>Resonator Ceramic</v>
      </c>
      <c r="J28" s="67" t="s">
        <v>204</v>
      </c>
      <c r="K28" s="63" t="s">
        <v>171</v>
      </c>
      <c r="L28" s="65" t="s">
        <v>263</v>
      </c>
      <c r="M28" s="12">
        <v>1</v>
      </c>
      <c r="N28" s="12">
        <v>4.38</v>
      </c>
      <c r="O28" s="65" t="s">
        <v>18</v>
      </c>
      <c r="P28" s="49">
        <f>IF(O28 = "PLN", M28*N28, IF(O28 = "EUR", M28*N28*'Do NOT Modify'!$J$6, IF(O28 = "USD", M28*N28*'Do NOT Modify'!$J$3, IF(O28 = "GBP", M28*N28*'Do NOT Modify'!$J$9, IF(O28= "", "", "CURRENCY ERROR")))))</f>
        <v>4.38</v>
      </c>
      <c r="Q28" s="66" t="s">
        <v>218</v>
      </c>
    </row>
    <row r="29" spans="1:17" s="8" customFormat="1" ht="25.5" x14ac:dyDescent="0.2">
      <c r="A29" s="27">
        <f t="shared" si="3"/>
        <v>27</v>
      </c>
      <c r="B29" s="64" t="s">
        <v>224</v>
      </c>
      <c r="C29" s="60"/>
      <c r="D29" s="13">
        <v>4</v>
      </c>
      <c r="E29" s="61"/>
      <c r="F29" s="13"/>
      <c r="G29" s="13"/>
      <c r="H29" s="13"/>
      <c r="I29" s="9"/>
      <c r="J29" s="68"/>
      <c r="K29" s="60"/>
      <c r="L29" s="65" t="s">
        <v>7</v>
      </c>
      <c r="M29" s="10">
        <v>10</v>
      </c>
      <c r="N29" s="10">
        <v>0.50995999999999997</v>
      </c>
      <c r="O29" s="65" t="s">
        <v>18</v>
      </c>
      <c r="P29" s="49">
        <f>IF(O29 = "PLN", M29*N29, IF(O29 = "EUR", M29*N29*'Do NOT Modify'!$J$6, IF(O29 = "USD", M29*N29*'Do NOT Modify'!$J$3, IF(O29 = "GBP", M29*N29*'Do NOT Modify'!$J$9, IF(O29= "", "", "CURRENCY ERROR")))))</f>
        <v>5.0995999999999997</v>
      </c>
      <c r="Q29" s="66" t="s">
        <v>226</v>
      </c>
    </row>
    <row r="30" spans="1:17" s="8" customFormat="1" hidden="1" x14ac:dyDescent="0.2">
      <c r="A30" s="27">
        <f t="shared" si="3"/>
        <v>28</v>
      </c>
      <c r="B30" s="58" t="s">
        <v>42</v>
      </c>
      <c r="C30" s="60" t="s">
        <v>74</v>
      </c>
      <c r="D30" s="14">
        <v>6</v>
      </c>
      <c r="E30" s="61" t="s">
        <v>37</v>
      </c>
      <c r="F30" s="13"/>
      <c r="G30" s="13"/>
      <c r="H30" s="13"/>
      <c r="I30" s="9" t="str">
        <f t="shared" ref="I30:I37" si="4">IF(OR(E30="Generic capacitor", E30="Polarized Capacitor"), (F30&amp;", "&amp;G30&amp;", "&amp;H30), E30)</f>
        <v/>
      </c>
      <c r="J30" s="60" t="s">
        <v>42</v>
      </c>
      <c r="K30" s="63" t="s">
        <v>157</v>
      </c>
      <c r="L30" s="10"/>
      <c r="M30" s="12"/>
      <c r="N30" s="12"/>
      <c r="O30" s="65" t="s">
        <v>18</v>
      </c>
      <c r="P30" s="49">
        <f>IF(O30 = "PLN", M30*N30, IF(O30 = "EUR", M30*N30*'Do NOT Modify'!$J$6, IF(O30 = "USD", M30*N30*'Do NOT Modify'!$J$3, IF(O30 = "GBP", M30*N30*'Do NOT Modify'!$J$9, IF(O30= "", "", "CURRENCY ERROR")))))</f>
        <v>0</v>
      </c>
      <c r="Q30" s="52"/>
    </row>
    <row r="31" spans="1:17" s="8" customFormat="1" hidden="1" x14ac:dyDescent="0.2">
      <c r="A31" s="27">
        <f t="shared" si="3"/>
        <v>29</v>
      </c>
      <c r="B31" s="58" t="s">
        <v>43</v>
      </c>
      <c r="C31" s="60" t="s">
        <v>74</v>
      </c>
      <c r="D31" s="13">
        <v>4</v>
      </c>
      <c r="E31" s="61" t="s">
        <v>37</v>
      </c>
      <c r="F31" s="13"/>
      <c r="G31" s="13"/>
      <c r="H31" s="13"/>
      <c r="I31" s="9" t="str">
        <f t="shared" si="4"/>
        <v/>
      </c>
      <c r="J31" s="62" t="s">
        <v>43</v>
      </c>
      <c r="K31" s="60" t="s">
        <v>158</v>
      </c>
      <c r="L31" s="10"/>
      <c r="M31" s="10"/>
      <c r="N31" s="10"/>
      <c r="O31" s="65" t="s">
        <v>18</v>
      </c>
      <c r="P31" s="49">
        <f>IF(O31 = "PLN", M31*N31, IF(O31 = "EUR", M31*N31*'Do NOT Modify'!$J$6, IF(O31 = "USD", M31*N31*'Do NOT Modify'!$J$3, IF(O31 = "GBP", M31*N31*'Do NOT Modify'!$J$9, IF(O31= "", "", "CURRENCY ERROR")))))</f>
        <v>0</v>
      </c>
      <c r="Q31" s="52"/>
    </row>
    <row r="32" spans="1:17" s="8" customFormat="1" ht="38.25" hidden="1" x14ac:dyDescent="0.2">
      <c r="A32" s="27">
        <f t="shared" si="3"/>
        <v>30</v>
      </c>
      <c r="B32" s="58" t="s">
        <v>44</v>
      </c>
      <c r="C32" s="60" t="s">
        <v>74</v>
      </c>
      <c r="D32" s="14">
        <v>15</v>
      </c>
      <c r="E32" s="61" t="s">
        <v>37</v>
      </c>
      <c r="F32" s="13"/>
      <c r="G32" s="13"/>
      <c r="H32" s="13"/>
      <c r="I32" s="9" t="str">
        <f t="shared" si="4"/>
        <v/>
      </c>
      <c r="J32" s="60" t="s">
        <v>44</v>
      </c>
      <c r="K32" s="63" t="s">
        <v>159</v>
      </c>
      <c r="L32" s="10"/>
      <c r="M32" s="12"/>
      <c r="N32" s="12"/>
      <c r="O32" s="65" t="s">
        <v>18</v>
      </c>
      <c r="P32" s="49">
        <f>IF(O32 = "PLN", M32*N32, IF(O32 = "EUR", M32*N32*'Do NOT Modify'!$J$6, IF(O32 = "USD", M32*N32*'Do NOT Modify'!$J$3, IF(O32 = "GBP", M32*N32*'Do NOT Modify'!$J$9, IF(O32= "", "", "CURRENCY ERROR")))))</f>
        <v>0</v>
      </c>
      <c r="Q32" s="52"/>
    </row>
    <row r="33" spans="1:17" s="8" customFormat="1" hidden="1" x14ac:dyDescent="0.2">
      <c r="A33" s="27">
        <f t="shared" si="3"/>
        <v>31</v>
      </c>
      <c r="B33" s="58" t="s">
        <v>45</v>
      </c>
      <c r="C33" s="60" t="s">
        <v>74</v>
      </c>
      <c r="D33" s="13">
        <v>2</v>
      </c>
      <c r="E33" s="61" t="s">
        <v>37</v>
      </c>
      <c r="F33" s="13"/>
      <c r="G33" s="13"/>
      <c r="H33" s="13"/>
      <c r="I33" s="9" t="str">
        <f t="shared" si="4"/>
        <v/>
      </c>
      <c r="J33" s="62" t="s">
        <v>45</v>
      </c>
      <c r="K33" s="60" t="s">
        <v>160</v>
      </c>
      <c r="L33" s="10"/>
      <c r="M33" s="10"/>
      <c r="N33" s="10"/>
      <c r="O33" s="65" t="s">
        <v>18</v>
      </c>
      <c r="P33" s="49">
        <f>IF(O33 = "PLN", M33*N33, IF(O33 = "EUR", M33*N33*'Do NOT Modify'!$J$6, IF(O33 = "USD", M33*N33*'Do NOT Modify'!$J$3, IF(O33 = "GBP", M33*N33*'Do NOT Modify'!$J$9, IF(O33= "", "", "CURRENCY ERROR")))))</f>
        <v>0</v>
      </c>
      <c r="Q33" s="52"/>
    </row>
    <row r="34" spans="1:17" s="8" customFormat="1" ht="63.75" hidden="1" x14ac:dyDescent="0.2">
      <c r="A34" s="27">
        <f t="shared" si="3"/>
        <v>32</v>
      </c>
      <c r="B34" s="58" t="s">
        <v>46</v>
      </c>
      <c r="C34" s="60" t="s">
        <v>74</v>
      </c>
      <c r="D34" s="14">
        <v>1</v>
      </c>
      <c r="E34" s="61" t="s">
        <v>103</v>
      </c>
      <c r="F34" s="13"/>
      <c r="G34" s="13"/>
      <c r="H34" s="13"/>
      <c r="I34" s="9" t="str">
        <f t="shared" si="4"/>
        <v>1k/1% Vishay CRCW 0603 Resistor. 100mW, 100ppm, 75V.</v>
      </c>
      <c r="J34" s="60" t="s">
        <v>46</v>
      </c>
      <c r="K34" s="63" t="s">
        <v>161</v>
      </c>
      <c r="L34" s="10"/>
      <c r="M34" s="12"/>
      <c r="N34" s="12"/>
      <c r="O34" s="65" t="s">
        <v>18</v>
      </c>
      <c r="P34" s="49">
        <f>IF(O34 = "PLN", M34*N34, IF(O34 = "EUR", M34*N34*'Do NOT Modify'!$J$6, IF(O34 = "USD", M34*N34*'Do NOT Modify'!$J$3, IF(O34 = "GBP", M34*N34*'Do NOT Modify'!$J$9, IF(O34= "", "", "CURRENCY ERROR")))))</f>
        <v>0</v>
      </c>
      <c r="Q34" s="52"/>
    </row>
    <row r="35" spans="1:17" s="8" customFormat="1" ht="76.5" hidden="1" x14ac:dyDescent="0.2">
      <c r="A35" s="27">
        <f t="shared" si="3"/>
        <v>33</v>
      </c>
      <c r="B35" s="58" t="s">
        <v>47</v>
      </c>
      <c r="C35" s="60" t="s">
        <v>74</v>
      </c>
      <c r="D35" s="13">
        <v>2</v>
      </c>
      <c r="E35" s="61" t="s">
        <v>104</v>
      </c>
      <c r="F35" s="13"/>
      <c r="G35" s="13"/>
      <c r="H35" s="13"/>
      <c r="I35" s="9" t="str">
        <f t="shared" si="4"/>
        <v>1k/1% Vishay CRCW 0603 Resistor. 100mW, 100ppm, 75V., [NoValue]</v>
      </c>
      <c r="J35" s="62" t="s">
        <v>47</v>
      </c>
      <c r="K35" s="60" t="s">
        <v>162</v>
      </c>
      <c r="L35" s="10"/>
      <c r="M35" s="10"/>
      <c r="N35" s="10"/>
      <c r="O35" s="65" t="s">
        <v>18</v>
      </c>
      <c r="P35" s="49">
        <f>IF(O35 = "PLN", M35*N35, IF(O35 = "EUR", M35*N35*'Do NOT Modify'!$J$6, IF(O35 = "USD", M35*N35*'Do NOT Modify'!$J$3, IF(O35 = "GBP", M35*N35*'Do NOT Modify'!$J$9, IF(O35= "", "", "CURRENCY ERROR")))))</f>
        <v>0</v>
      </c>
      <c r="Q35" s="52"/>
    </row>
    <row r="36" spans="1:17" s="8" customFormat="1" hidden="1" x14ac:dyDescent="0.2">
      <c r="A36" s="27">
        <f t="shared" si="3"/>
        <v>34</v>
      </c>
      <c r="B36" s="58" t="s">
        <v>48</v>
      </c>
      <c r="C36" s="60" t="s">
        <v>74</v>
      </c>
      <c r="D36" s="14">
        <v>2</v>
      </c>
      <c r="E36" s="61" t="s">
        <v>37</v>
      </c>
      <c r="F36" s="13"/>
      <c r="G36" s="13"/>
      <c r="H36" s="13"/>
      <c r="I36" s="9" t="str">
        <f t="shared" si="4"/>
        <v/>
      </c>
      <c r="J36" s="60" t="s">
        <v>48</v>
      </c>
      <c r="K36" s="63" t="s">
        <v>163</v>
      </c>
      <c r="L36" s="10"/>
      <c r="M36" s="12"/>
      <c r="N36" s="12"/>
      <c r="O36" s="65" t="s">
        <v>18</v>
      </c>
      <c r="P36" s="49">
        <f>IF(O36 = "PLN", M36*N36, IF(O36 = "EUR", M36*N36*'Do NOT Modify'!$J$6, IF(O36 = "USD", M36*N36*'Do NOT Modify'!$J$3, IF(O36 = "GBP", M36*N36*'Do NOT Modify'!$J$9, IF(O36= "", "", "CURRENCY ERROR")))))</f>
        <v>0</v>
      </c>
      <c r="Q36" s="52"/>
    </row>
    <row r="37" spans="1:17" s="8" customFormat="1" hidden="1" x14ac:dyDescent="0.2">
      <c r="A37" s="27">
        <f t="shared" si="3"/>
        <v>35</v>
      </c>
      <c r="B37" s="58" t="s">
        <v>49</v>
      </c>
      <c r="C37" s="60" t="s">
        <v>74</v>
      </c>
      <c r="D37" s="13">
        <v>2</v>
      </c>
      <c r="E37" s="61" t="s">
        <v>37</v>
      </c>
      <c r="F37" s="13"/>
      <c r="G37" s="13"/>
      <c r="H37" s="13"/>
      <c r="I37" s="9" t="str">
        <f t="shared" si="4"/>
        <v/>
      </c>
      <c r="J37" s="62" t="s">
        <v>49</v>
      </c>
      <c r="K37" s="60" t="s">
        <v>164</v>
      </c>
      <c r="L37" s="10"/>
      <c r="M37" s="10"/>
      <c r="N37" s="10"/>
      <c r="O37" s="65" t="s">
        <v>18</v>
      </c>
      <c r="P37" s="49">
        <f>IF(O37 = "PLN", M37*N37, IF(O37 = "EUR", M37*N37*'Do NOT Modify'!$J$6, IF(O37 = "USD", M37*N37*'Do NOT Modify'!$J$3, IF(O37 = "GBP", M37*N37*'Do NOT Modify'!$J$9, IF(O37= "", "", "CURRENCY ERROR")))))</f>
        <v>0</v>
      </c>
      <c r="Q37" s="52"/>
    </row>
    <row r="38" spans="1:17" s="8" customFormat="1" ht="25.5" x14ac:dyDescent="0.2">
      <c r="A38" s="27">
        <f t="shared" si="3"/>
        <v>36</v>
      </c>
      <c r="B38" s="64" t="s">
        <v>223</v>
      </c>
      <c r="C38" s="60"/>
      <c r="D38" s="14">
        <v>4</v>
      </c>
      <c r="E38" s="61"/>
      <c r="F38" s="13"/>
      <c r="G38" s="13"/>
      <c r="H38" s="13"/>
      <c r="I38" s="9"/>
      <c r="J38" s="67"/>
      <c r="K38" s="63"/>
      <c r="L38" s="65" t="s">
        <v>7</v>
      </c>
      <c r="M38" s="12">
        <v>10</v>
      </c>
      <c r="N38" s="12">
        <v>0.55679999999999996</v>
      </c>
      <c r="O38" s="65" t="s">
        <v>18</v>
      </c>
      <c r="P38" s="49">
        <f>IF(O38 = "PLN", M38*N38, IF(O38 = "EUR", M38*N38*'Do NOT Modify'!$J$6, IF(O38 = "USD", M38*N38*'Do NOT Modify'!$J$3, IF(O38 = "GBP", M38*N38*'Do NOT Modify'!$J$9, IF(O38= "", "", "CURRENCY ERROR")))))</f>
        <v>5.5679999999999996</v>
      </c>
      <c r="Q38" s="66" t="s">
        <v>225</v>
      </c>
    </row>
    <row r="39" spans="1:17" s="8" customFormat="1" hidden="1" x14ac:dyDescent="0.2">
      <c r="A39" s="27">
        <f t="shared" si="3"/>
        <v>37</v>
      </c>
      <c r="B39" s="58" t="s">
        <v>37</v>
      </c>
      <c r="C39" s="60" t="s">
        <v>76</v>
      </c>
      <c r="D39" s="13">
        <v>1</v>
      </c>
      <c r="E39" s="61" t="s">
        <v>37</v>
      </c>
      <c r="F39" s="13"/>
      <c r="G39" s="13"/>
      <c r="H39" s="13"/>
      <c r="I39" s="9" t="str">
        <f t="shared" ref="I39:I50" si="5">IF(OR(E39="Generic capacitor", E39="Polarized Capacitor"), (F39&amp;", "&amp;G39&amp;", "&amp;H39), E39)</f>
        <v/>
      </c>
      <c r="J39" s="62" t="s">
        <v>126</v>
      </c>
      <c r="K39" s="60" t="s">
        <v>166</v>
      </c>
      <c r="L39" s="10"/>
      <c r="M39" s="10"/>
      <c r="N39" s="10"/>
      <c r="O39" s="65" t="s">
        <v>18</v>
      </c>
      <c r="P39" s="49">
        <f>IF(O39 = "PLN", M39*N39, IF(O39 = "EUR", M39*N39*'Do NOT Modify'!$J$6, IF(O39 = "USD", M39*N39*'Do NOT Modify'!$J$3, IF(O39 = "GBP", M39*N39*'Do NOT Modify'!$J$9, IF(O39= "", "", "CURRENCY ERROR")))))</f>
        <v>0</v>
      </c>
      <c r="Q39" s="52"/>
    </row>
    <row r="40" spans="1:17" s="8" customFormat="1" ht="38.25" x14ac:dyDescent="0.2">
      <c r="A40" s="27">
        <f t="shared" si="3"/>
        <v>38</v>
      </c>
      <c r="B40" s="64" t="s">
        <v>208</v>
      </c>
      <c r="C40" s="60" t="s">
        <v>40</v>
      </c>
      <c r="D40" s="14">
        <v>4</v>
      </c>
      <c r="E40" s="61" t="s">
        <v>100</v>
      </c>
      <c r="F40" s="13"/>
      <c r="G40" s="13"/>
      <c r="H40" s="13"/>
      <c r="I40" s="9" t="str">
        <f t="shared" si="5"/>
        <v>ALS Panel Fixture Connection</v>
      </c>
      <c r="J40" s="70" t="s">
        <v>40</v>
      </c>
      <c r="K40" s="63" t="s">
        <v>155</v>
      </c>
      <c r="L40" s="65" t="s">
        <v>7</v>
      </c>
      <c r="M40" s="12">
        <v>10</v>
      </c>
      <c r="N40" s="12">
        <v>0.89070000000000005</v>
      </c>
      <c r="O40" s="65" t="s">
        <v>18</v>
      </c>
      <c r="P40" s="49">
        <f>IF(O40 = "PLN", M40*N40, IF(O40 = "EUR", M40*N40*'Do NOT Modify'!$J$6, IF(O40 = "USD", M40*N40*'Do NOT Modify'!$J$3, IF(O40 = "GBP", M40*N40*'Do NOT Modify'!$J$9, IF(O40= "", "", "CURRENCY ERROR")))))</f>
        <v>8.907</v>
      </c>
      <c r="Q40" s="66" t="s">
        <v>209</v>
      </c>
    </row>
    <row r="41" spans="1:17" s="8" customFormat="1" ht="102" hidden="1" x14ac:dyDescent="0.2">
      <c r="A41" s="76">
        <f t="shared" si="3"/>
        <v>39</v>
      </c>
      <c r="B41" s="58" t="s">
        <v>37</v>
      </c>
      <c r="C41" s="60" t="s">
        <v>65</v>
      </c>
      <c r="D41" s="13">
        <v>1</v>
      </c>
      <c r="E41" s="61" t="s">
        <v>94</v>
      </c>
      <c r="F41" s="13"/>
      <c r="G41" s="13"/>
      <c r="H41" s="13"/>
      <c r="I41" s="9" t="str">
        <f t="shared" si="5"/>
        <v>SPRING-LOADED CONNECTORS, 854-22-004-10-001101, 1.27 mm pitch, 1x4pin, THT.</v>
      </c>
      <c r="J41" s="71" t="s">
        <v>117</v>
      </c>
      <c r="K41" s="60" t="s">
        <v>144</v>
      </c>
      <c r="L41" s="65" t="s">
        <v>263</v>
      </c>
      <c r="M41" s="10">
        <v>1</v>
      </c>
      <c r="N41" s="10">
        <v>16.36</v>
      </c>
      <c r="O41" s="65" t="s">
        <v>18</v>
      </c>
      <c r="P41" s="49">
        <f>IF(O41 = "PLN", M41*N41, IF(O41 = "EUR", M41*N41*'Do NOT Modify'!$J$6, IF(O41 = "USD", M41*N41*'Do NOT Modify'!$J$3, IF(O41 = "GBP", M41*N41*'Do NOT Modify'!$J$9, IF(O41= "", "", "CURRENCY ERROR")))))</f>
        <v>16.36</v>
      </c>
      <c r="Q41" s="66" t="s">
        <v>206</v>
      </c>
    </row>
    <row r="42" spans="1:17" s="8" customFormat="1" x14ac:dyDescent="0.2">
      <c r="A42" s="27">
        <f t="shared" si="3"/>
        <v>40</v>
      </c>
      <c r="B42" s="58" t="s">
        <v>37</v>
      </c>
      <c r="C42" s="60" t="s">
        <v>75</v>
      </c>
      <c r="D42" s="14">
        <v>4</v>
      </c>
      <c r="E42" s="61" t="s">
        <v>37</v>
      </c>
      <c r="F42" s="13"/>
      <c r="G42" s="13"/>
      <c r="H42" s="13"/>
      <c r="I42" s="9" t="str">
        <f t="shared" si="5"/>
        <v/>
      </c>
      <c r="J42" s="60" t="s">
        <v>75</v>
      </c>
      <c r="K42" s="63" t="s">
        <v>165</v>
      </c>
      <c r="L42" s="65" t="s">
        <v>7</v>
      </c>
      <c r="M42" s="12">
        <v>4</v>
      </c>
      <c r="N42" s="12">
        <v>4.8499999999999996</v>
      </c>
      <c r="O42" s="65" t="s">
        <v>18</v>
      </c>
      <c r="P42" s="49">
        <f>IF(O42 = "PLN", M42*N42, IF(O42 = "EUR", M42*N42*'Do NOT Modify'!$J$6, IF(O42 = "USD", M42*N42*'Do NOT Modify'!$J$3, IF(O42 = "GBP", M42*N42*'Do NOT Modify'!$J$9, IF(O42= "", "", "CURRENCY ERROR")))))</f>
        <v>19.399999999999999</v>
      </c>
      <c r="Q42" s="66" t="s">
        <v>212</v>
      </c>
    </row>
    <row r="43" spans="1:17" s="8" customFormat="1" ht="114.75" hidden="1" x14ac:dyDescent="0.2">
      <c r="A43" s="76">
        <f t="shared" si="3"/>
        <v>41</v>
      </c>
      <c r="B43" s="58" t="s">
        <v>128</v>
      </c>
      <c r="C43" s="60" t="s">
        <v>79</v>
      </c>
      <c r="D43" s="13">
        <v>2</v>
      </c>
      <c r="E43" s="61" t="s">
        <v>107</v>
      </c>
      <c r="F43" s="13"/>
      <c r="G43" s="13"/>
      <c r="H43" s="13"/>
      <c r="I43" s="9" t="str">
        <f t="shared" si="5"/>
        <v>1 Mbps Dual Channels, 1 / 1, Digital Isolator, 3.3 V / 5 V, -40 to +125 degC, 8-pin SOIC (D), Green (RoHS &amp; no Sb/Br)</v>
      </c>
      <c r="J43" s="71" t="s">
        <v>128</v>
      </c>
      <c r="K43" s="60" t="s">
        <v>169</v>
      </c>
      <c r="L43" s="65" t="s">
        <v>263</v>
      </c>
      <c r="M43" s="10">
        <v>2</v>
      </c>
      <c r="N43" s="10">
        <v>10.37</v>
      </c>
      <c r="O43" s="65" t="s">
        <v>18</v>
      </c>
      <c r="P43" s="49">
        <f>IF(O43 = "PLN", M43*N43, IF(O43 = "EUR", M43*N43*'Do NOT Modify'!$J$6, IF(O43 = "USD", M43*N43*'Do NOT Modify'!$J$3, IF(O43 = "GBP", M43*N43*'Do NOT Modify'!$J$9, IF(O43= "", "", "CURRENCY ERROR")))))</f>
        <v>20.74</v>
      </c>
      <c r="Q43" s="66" t="s">
        <v>216</v>
      </c>
    </row>
    <row r="44" spans="1:17" s="8" customFormat="1" ht="38.25" hidden="1" x14ac:dyDescent="0.2">
      <c r="A44" s="76">
        <f t="shared" si="3"/>
        <v>42</v>
      </c>
      <c r="B44" s="58" t="s">
        <v>50</v>
      </c>
      <c r="C44" s="60" t="s">
        <v>77</v>
      </c>
      <c r="D44" s="14">
        <v>1</v>
      </c>
      <c r="E44" s="61" t="s">
        <v>105</v>
      </c>
      <c r="F44" s="13"/>
      <c r="G44" s="13"/>
      <c r="H44" s="13"/>
      <c r="I44" s="9" t="str">
        <f t="shared" si="5"/>
        <v>General-purpose microcontroller</v>
      </c>
      <c r="J44" s="60" t="s">
        <v>50</v>
      </c>
      <c r="K44" s="63" t="s">
        <v>167</v>
      </c>
      <c r="L44" s="65" t="s">
        <v>263</v>
      </c>
      <c r="M44" s="12">
        <v>1</v>
      </c>
      <c r="N44" s="12">
        <v>21.8</v>
      </c>
      <c r="O44" s="65" t="s">
        <v>18</v>
      </c>
      <c r="P44" s="49">
        <f>IF(O44 = "PLN", M44*N44, IF(O44 = "EUR", M44*N44*'Do NOT Modify'!$J$6, IF(O44 = "USD", M44*N44*'Do NOT Modify'!$J$3, IF(O44 = "GBP", M44*N44*'Do NOT Modify'!$J$9, IF(O44= "", "", "CURRENCY ERROR")))))</f>
        <v>21.8</v>
      </c>
      <c r="Q44" s="66" t="s">
        <v>213</v>
      </c>
    </row>
    <row r="45" spans="1:17" s="8" customFormat="1" ht="76.5" hidden="1" x14ac:dyDescent="0.2">
      <c r="A45" s="76">
        <f t="shared" si="3"/>
        <v>43</v>
      </c>
      <c r="B45" s="64" t="s">
        <v>215</v>
      </c>
      <c r="C45" s="60" t="s">
        <v>78</v>
      </c>
      <c r="D45" s="13">
        <v>1</v>
      </c>
      <c r="E45" s="61" t="s">
        <v>106</v>
      </c>
      <c r="F45" s="13"/>
      <c r="G45" s="13"/>
      <c r="H45" s="13"/>
      <c r="I45" s="9" t="str">
        <f t="shared" si="5"/>
        <v>FT2232D Dual USB to Serial UART/FIFO IC, -40 to +85 degC, 48-pin LQFP</v>
      </c>
      <c r="J45" s="62" t="s">
        <v>127</v>
      </c>
      <c r="K45" s="60" t="s">
        <v>168</v>
      </c>
      <c r="L45" s="65" t="s">
        <v>263</v>
      </c>
      <c r="M45" s="10">
        <v>1</v>
      </c>
      <c r="N45" s="10">
        <v>28.01</v>
      </c>
      <c r="O45" s="65" t="s">
        <v>18</v>
      </c>
      <c r="P45" s="49">
        <f>IF(O45 = "PLN", M45*N45, IF(O45 = "EUR", M45*N45*'Do NOT Modify'!$J$6, IF(O45 = "USD", M45*N45*'Do NOT Modify'!$J$3, IF(O45 = "GBP", M45*N45*'Do NOT Modify'!$J$9, IF(O45= "", "", "CURRENCY ERROR")))))</f>
        <v>28.01</v>
      </c>
      <c r="Q45" s="66" t="s">
        <v>214</v>
      </c>
    </row>
    <row r="46" spans="1:17" s="8" customFormat="1" ht="102" hidden="1" x14ac:dyDescent="0.2">
      <c r="A46" s="76">
        <f t="shared" si="3"/>
        <v>44</v>
      </c>
      <c r="B46" s="64" t="s">
        <v>230</v>
      </c>
      <c r="C46" s="60" t="s">
        <v>63</v>
      </c>
      <c r="D46" s="13">
        <v>1</v>
      </c>
      <c r="E46" s="61" t="s">
        <v>92</v>
      </c>
      <c r="F46" s="13"/>
      <c r="G46" s="13"/>
      <c r="H46" s="13"/>
      <c r="I46" s="9" t="str">
        <f t="shared" si="5"/>
        <v>SPRING-LOADED CONNECTORS, 854-22-003-10-001101, 1.27 mm pitch, 1x3pin, THT</v>
      </c>
      <c r="J46" s="71" t="s">
        <v>116</v>
      </c>
      <c r="K46" s="60" t="s">
        <v>142</v>
      </c>
      <c r="L46" s="65" t="s">
        <v>263</v>
      </c>
      <c r="M46" s="10">
        <v>1</v>
      </c>
      <c r="N46" s="10">
        <v>30.98</v>
      </c>
      <c r="O46" s="65" t="s">
        <v>18</v>
      </c>
      <c r="P46" s="49">
        <f>IF(O46 = "PLN", M46*N46, IF(O46 = "EUR", M46*N46*'Do NOT Modify'!$J$6, IF(O46 = "USD", M46*N46*'Do NOT Modify'!$J$3, IF(O46 = "GBP", M46*N46*'Do NOT Modify'!$J$9, IF(O46= "", "", "CURRENCY ERROR")))))</f>
        <v>30.98</v>
      </c>
      <c r="Q46" s="66" t="s">
        <v>205</v>
      </c>
    </row>
    <row r="47" spans="1:17" s="8" customFormat="1" ht="102" hidden="1" x14ac:dyDescent="0.2">
      <c r="A47" s="76">
        <f t="shared" si="3"/>
        <v>45</v>
      </c>
      <c r="B47" s="64" t="s">
        <v>230</v>
      </c>
      <c r="C47" s="60" t="s">
        <v>72</v>
      </c>
      <c r="D47" s="13">
        <v>1</v>
      </c>
      <c r="E47" s="61" t="s">
        <v>101</v>
      </c>
      <c r="F47" s="13"/>
      <c r="G47" s="13"/>
      <c r="H47" s="13"/>
      <c r="I47" s="9" t="str">
        <f t="shared" si="5"/>
        <v>SPRING-LOADED CONNECTORS, 854-22-006-10-001101, 1.27 mm pitch, 1x6pin, THT.</v>
      </c>
      <c r="J47" s="71" t="s">
        <v>72</v>
      </c>
      <c r="K47" s="60" t="s">
        <v>120</v>
      </c>
      <c r="L47" s="65" t="s">
        <v>263</v>
      </c>
      <c r="M47" s="10">
        <v>1</v>
      </c>
      <c r="N47" s="10">
        <v>37.53</v>
      </c>
      <c r="O47" s="65" t="s">
        <v>18</v>
      </c>
      <c r="P47" s="49">
        <f>IF(O47 = "PLN", M47*N47, IF(O47 = "EUR", M47*N47*'Do NOT Modify'!$J$6, IF(O47 = "USD", M47*N47*'Do NOT Modify'!$J$3, IF(O47 = "GBP", M47*N47*'Do NOT Modify'!$J$9, IF(O47= "", "", "CURRENCY ERROR")))))</f>
        <v>37.53</v>
      </c>
      <c r="Q47" s="66" t="s">
        <v>210</v>
      </c>
    </row>
    <row r="48" spans="1:17" s="8" customFormat="1" hidden="1" x14ac:dyDescent="0.2">
      <c r="A48" s="76">
        <f t="shared" si="3"/>
        <v>46</v>
      </c>
      <c r="B48" s="64" t="s">
        <v>258</v>
      </c>
      <c r="C48" s="60"/>
      <c r="D48" s="13"/>
      <c r="E48" s="61"/>
      <c r="F48" s="13"/>
      <c r="G48" s="13"/>
      <c r="H48" s="13"/>
      <c r="I48" s="9"/>
      <c r="J48" s="71"/>
      <c r="K48" s="60"/>
      <c r="L48" s="65" t="s">
        <v>263</v>
      </c>
      <c r="M48" s="10">
        <v>10</v>
      </c>
      <c r="N48" s="10">
        <v>5.99</v>
      </c>
      <c r="O48" s="65" t="s">
        <v>18</v>
      </c>
      <c r="P48" s="49">
        <f>IF(O48 = "PLN", M48*N48, IF(O48 = "EUR", M48*N48*'Do NOT Modify'!$J$6, IF(O48 = "USD", M48*N48*'Do NOT Modify'!$J$3, IF(O48 = "GBP", M48*N48*'Do NOT Modify'!$J$9, IF(O48= "", "", "CURRENCY ERROR")))))</f>
        <v>59.900000000000006</v>
      </c>
      <c r="Q48" s="66" t="s">
        <v>259</v>
      </c>
    </row>
    <row r="49" spans="1:18" s="8" customFormat="1" hidden="1" x14ac:dyDescent="0.2">
      <c r="A49" s="76">
        <f t="shared" si="3"/>
        <v>47</v>
      </c>
      <c r="B49" s="64" t="s">
        <v>260</v>
      </c>
      <c r="C49" s="60"/>
      <c r="D49" s="13"/>
      <c r="E49" s="61"/>
      <c r="F49" s="13"/>
      <c r="G49" s="13"/>
      <c r="H49" s="13"/>
      <c r="I49" s="9"/>
      <c r="J49" s="71"/>
      <c r="K49" s="60"/>
      <c r="L49" s="65" t="s">
        <v>263</v>
      </c>
      <c r="M49" s="10">
        <v>2</v>
      </c>
      <c r="N49" s="10">
        <v>46.84</v>
      </c>
      <c r="O49" s="65" t="s">
        <v>18</v>
      </c>
      <c r="P49" s="49">
        <f>IF(O49 = "PLN", M49*N49, IF(O49 = "EUR", M49*N49*'Do NOT Modify'!$J$6, IF(O49 = "USD", M49*N49*'Do NOT Modify'!$J$3, IF(O49 = "GBP", M49*N49*'Do NOT Modify'!$J$9, IF(O49= "", "", "CURRENCY ERROR")))))</f>
        <v>93.68</v>
      </c>
      <c r="Q49" s="66" t="s">
        <v>261</v>
      </c>
    </row>
    <row r="50" spans="1:18" s="8" customFormat="1" ht="102" hidden="1" x14ac:dyDescent="0.2">
      <c r="A50" s="76">
        <f t="shared" si="3"/>
        <v>48</v>
      </c>
      <c r="B50" s="64" t="s">
        <v>230</v>
      </c>
      <c r="C50" s="60" t="s">
        <v>66</v>
      </c>
      <c r="D50" s="13">
        <v>4</v>
      </c>
      <c r="E50" s="61" t="s">
        <v>95</v>
      </c>
      <c r="F50" s="13"/>
      <c r="G50" s="13"/>
      <c r="H50" s="13"/>
      <c r="I50" s="9" t="str">
        <f t="shared" si="5"/>
        <v>SPRING-LOADED CONNECTORS, 854-22-009-10-001101, 1.27 mm pitch, 1x9pin, THT.</v>
      </c>
      <c r="J50" s="62" t="s">
        <v>66</v>
      </c>
      <c r="K50" s="60" t="s">
        <v>145</v>
      </c>
      <c r="L50" s="65" t="s">
        <v>263</v>
      </c>
      <c r="M50" s="10">
        <v>4</v>
      </c>
      <c r="N50" s="10">
        <v>26.73</v>
      </c>
      <c r="O50" s="65" t="s">
        <v>18</v>
      </c>
      <c r="P50" s="49">
        <f>IF(O50 = "PLN", M50*N50, IF(O50 = "EUR", M50*N50*'Do NOT Modify'!$J$6, IF(O50 = "USD", M50*N50*'Do NOT Modify'!$J$3, IF(O50 = "GBP", M50*N50*'Do NOT Modify'!$J$9, IF(O50= "", "", "CURRENCY ERROR")))))</f>
        <v>106.92</v>
      </c>
      <c r="Q50" s="66" t="s">
        <v>207</v>
      </c>
    </row>
    <row r="51" spans="1:18" s="8" customFormat="1" ht="4.5" customHeight="1" thickBot="1" x14ac:dyDescent="0.25">
      <c r="A51" s="28"/>
      <c r="B51" s="10"/>
      <c r="C51" s="9"/>
      <c r="D51" s="50"/>
      <c r="E51" s="55"/>
      <c r="F51" s="55"/>
      <c r="G51" s="55"/>
      <c r="H51" s="55"/>
      <c r="I51" s="9"/>
      <c r="J51" s="9"/>
      <c r="K51" s="11"/>
      <c r="L51" s="20"/>
      <c r="M51" s="20"/>
      <c r="N51" s="20"/>
      <c r="O51" s="10"/>
      <c r="P51" s="49"/>
      <c r="Q51" s="53"/>
      <c r="R51" s="54"/>
    </row>
    <row r="52" spans="1:18" ht="23.25" customHeight="1" thickTop="1" thickBot="1" x14ac:dyDescent="0.25">
      <c r="B52" s="17"/>
      <c r="C52" s="17"/>
      <c r="D52" s="17"/>
      <c r="E52" s="17"/>
      <c r="F52" s="17"/>
      <c r="G52" s="17"/>
      <c r="H52" s="17"/>
      <c r="I52" s="17"/>
      <c r="J52" s="17"/>
      <c r="K52" s="17"/>
      <c r="N52" s="19"/>
      <c r="O52" s="18" t="s">
        <v>227</v>
      </c>
      <c r="P52" s="69">
        <f>SUM(P3:P50)</f>
        <v>477.81259999999997</v>
      </c>
      <c r="Q52" s="16"/>
    </row>
    <row r="53" spans="1:18" ht="13.5" thickTop="1" x14ac:dyDescent="0.2">
      <c r="O53" s="15" t="s">
        <v>262</v>
      </c>
      <c r="P53">
        <f>SUMIF(L3:L50,"Mouser 1",P3:P50)</f>
        <v>0</v>
      </c>
    </row>
    <row r="54" spans="1:18" x14ac:dyDescent="0.2">
      <c r="J54" s="75"/>
      <c r="O54" t="s">
        <v>263</v>
      </c>
      <c r="P54">
        <f>SUMIF(L3:L50,"Mouser 2",P3:P50)</f>
        <v>429.84000000000003</v>
      </c>
    </row>
    <row r="55" spans="1:18" x14ac:dyDescent="0.2">
      <c r="L55" s="75" t="s">
        <v>257</v>
      </c>
      <c r="O55" s="15" t="s">
        <v>7</v>
      </c>
      <c r="P55">
        <f>SUMIF(L3:L50,"TME",P3:P50)</f>
        <v>47.9726</v>
      </c>
    </row>
    <row r="56" spans="1:18" x14ac:dyDescent="0.2">
      <c r="B56" t="s">
        <v>262</v>
      </c>
      <c r="K56">
        <f>P53+[1]BOM!$M$19</f>
        <v>264.92999999999995</v>
      </c>
      <c r="L56">
        <f>K56*1.23</f>
        <v>325.86389999999994</v>
      </c>
    </row>
    <row r="57" spans="1:18" x14ac:dyDescent="0.2">
      <c r="B57" t="s">
        <v>263</v>
      </c>
      <c r="K57">
        <f>[1]BOM!$M$20+P54</f>
        <v>547.13</v>
      </c>
      <c r="L57">
        <f t="shared" ref="L57:L58" si="6">K57*1.23</f>
        <v>672.96989999999994</v>
      </c>
    </row>
    <row r="58" spans="1:18" x14ac:dyDescent="0.2">
      <c r="B58" t="s">
        <v>7</v>
      </c>
      <c r="K58">
        <f>P55+[1]BOM!$M$21</f>
        <v>58.2256</v>
      </c>
      <c r="L58">
        <f t="shared" si="6"/>
        <v>71.617487999999994</v>
      </c>
    </row>
    <row r="59" spans="1:18" x14ac:dyDescent="0.2">
      <c r="K59" s="75">
        <f>SUM(K57:K58)</f>
        <v>605.35559999999998</v>
      </c>
      <c r="L59" s="75">
        <f>SUM(L57:L58)</f>
        <v>744.58738799999992</v>
      </c>
    </row>
  </sheetData>
  <autoFilter ref="A2:Q50">
    <filterColumn colId="11">
      <filters>
        <filter val="TME"/>
      </filters>
    </filterColumn>
    <sortState ref="A6:Q48">
      <sortCondition ref="P2:P48"/>
    </sortState>
  </autoFilter>
  <mergeCells count="2">
    <mergeCell ref="A1:B1"/>
    <mergeCell ref="C1:J1"/>
  </mergeCells>
  <phoneticPr fontId="2" type="noConversion"/>
  <hyperlinks>
    <hyperlink ref="Q46" r:id="rId1"/>
    <hyperlink ref="Q41" r:id="rId2"/>
    <hyperlink ref="Q50" r:id="rId3"/>
    <hyperlink ref="Q40" r:id="rId4"/>
    <hyperlink ref="Q47" r:id="rId5"/>
    <hyperlink ref="Q12" r:id="rId6"/>
    <hyperlink ref="Q42" r:id="rId7"/>
    <hyperlink ref="Q44" r:id="rId8"/>
    <hyperlink ref="Q43" r:id="rId9"/>
    <hyperlink ref="Q17" r:id="rId10"/>
    <hyperlink ref="Q28" r:id="rId11"/>
    <hyperlink ref="Q14" r:id="rId12"/>
    <hyperlink ref="Q27" r:id="rId13"/>
    <hyperlink ref="Q38" r:id="rId14"/>
    <hyperlink ref="Q29" r:id="rId15"/>
    <hyperlink ref="Q16" r:id="rId16"/>
    <hyperlink ref="Q6" r:id="rId17"/>
    <hyperlink ref="Q48" r:id="rId18"/>
    <hyperlink ref="Q49" r:id="rId19"/>
  </hyperlinks>
  <pageMargins left="0.75" right="0.75" top="1" bottom="1" header="0.5" footer="0.5"/>
  <pageSetup paperSize="9" scale="74" orientation="landscape" horizontalDpi="360" verticalDpi="360" r:id="rId20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Modify'!$B$1:$B$6</xm:f>
          </x14:formula1>
          <xm:sqref>L51</xm:sqref>
        </x14:dataValidation>
        <x14:dataValidation type="list" allowBlank="1" showInputMessage="1" showErrorMessage="1">
          <x14:formula1>
            <xm:f>'Do NOT Modify'!$C$1:$C$4</xm:f>
          </x14:formula1>
          <xm:sqref>O3:O51</xm:sqref>
        </x14:dataValidation>
        <x14:dataValidation type="list" allowBlank="1" showInputMessage="1" showErrorMessage="1">
          <x14:formula1>
            <xm:f>'Do NOT Modify'!$B$1:$B$8</xm:f>
          </x14:formula1>
          <xm:sqref>L3:L50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B8" sqref="A1:B8"/>
    </sheetView>
  </sheetViews>
  <sheetFormatPr defaultRowHeight="12.75" x14ac:dyDescent="0.2"/>
  <cols>
    <col min="2" max="2" width="15.7109375" customWidth="1"/>
    <col min="4" max="4" width="16.28515625" bestFit="1" customWidth="1"/>
    <col min="5" max="5" width="11.140625" bestFit="1" customWidth="1"/>
    <col min="6" max="6" width="6.5703125" bestFit="1" customWidth="1"/>
    <col min="7" max="7" width="10.140625" bestFit="1" customWidth="1"/>
    <col min="8" max="8" width="14.5703125" customWidth="1"/>
    <col min="9" max="9" width="16.5703125" customWidth="1"/>
    <col min="10" max="10" width="14.42578125" customWidth="1"/>
    <col min="11" max="11" width="23.42578125" customWidth="1"/>
  </cols>
  <sheetData>
    <row r="1" spans="1:11" x14ac:dyDescent="0.2">
      <c r="A1" s="1" t="s">
        <v>8</v>
      </c>
      <c r="B1" s="2" t="s">
        <v>7</v>
      </c>
      <c r="C1" s="31" t="s">
        <v>18</v>
      </c>
      <c r="D1" s="46" t="s">
        <v>173</v>
      </c>
      <c r="E1" s="48" t="s">
        <v>174</v>
      </c>
      <c r="F1" s="43" t="s">
        <v>175</v>
      </c>
      <c r="G1" s="45"/>
      <c r="H1" s="44"/>
      <c r="I1" s="44"/>
      <c r="J1" s="45"/>
      <c r="K1" s="29"/>
    </row>
    <row r="2" spans="1:11" x14ac:dyDescent="0.2">
      <c r="A2" s="3" t="s">
        <v>9</v>
      </c>
      <c r="B2" s="4" t="s">
        <v>15</v>
      </c>
      <c r="C2" s="32" t="s">
        <v>19</v>
      </c>
      <c r="D2" s="47"/>
      <c r="E2" s="47"/>
      <c r="F2" s="35" t="s">
        <v>176</v>
      </c>
      <c r="G2" s="35" t="s">
        <v>177</v>
      </c>
      <c r="H2" s="35" t="s">
        <v>23</v>
      </c>
      <c r="I2" s="35" t="s">
        <v>24</v>
      </c>
      <c r="J2" s="37" t="s">
        <v>25</v>
      </c>
      <c r="K2" s="38" t="s">
        <v>26</v>
      </c>
    </row>
    <row r="3" spans="1:11" x14ac:dyDescent="0.2">
      <c r="A3" s="3" t="s">
        <v>10</v>
      </c>
      <c r="B3" s="4" t="s">
        <v>16</v>
      </c>
      <c r="C3" s="32" t="s">
        <v>20</v>
      </c>
      <c r="D3" s="39" t="s">
        <v>178</v>
      </c>
      <c r="E3" s="39" t="s">
        <v>179</v>
      </c>
      <c r="F3" s="39" t="s">
        <v>231</v>
      </c>
      <c r="G3" s="39" t="s">
        <v>232</v>
      </c>
      <c r="H3" s="39">
        <f>IF(ISNUMBER(F3), F3, VALUE(SUBSTITUTE(F3, ",", ".")))</f>
        <v>3.7869000000000002</v>
      </c>
      <c r="I3" s="39">
        <f>IF(ISNUMBER(G3), G3, VALUE(SUBSTITUTE(G3, ",", ".")))</f>
        <v>3.8635000000000002</v>
      </c>
      <c r="J3" s="40">
        <f>AVERAGE(H3:I3)</f>
        <v>3.8252000000000002</v>
      </c>
      <c r="K3" s="30" t="b">
        <f>ISNUMBER(J3)</f>
        <v>1</v>
      </c>
    </row>
    <row r="4" spans="1:11" x14ac:dyDescent="0.2">
      <c r="A4" s="3" t="s">
        <v>11</v>
      </c>
      <c r="B4" s="4" t="s">
        <v>262</v>
      </c>
      <c r="C4" s="33" t="s">
        <v>22</v>
      </c>
      <c r="D4" s="36" t="s">
        <v>180</v>
      </c>
      <c r="E4" s="36" t="s">
        <v>181</v>
      </c>
      <c r="F4" s="36" t="s">
        <v>233</v>
      </c>
      <c r="G4" s="36" t="s">
        <v>234</v>
      </c>
      <c r="H4" s="36">
        <f t="shared" ref="H4:H15" si="0">IF(ISNUMBER(F4), F4, VALUE(SUBSTITUTE(F4, ",", ".")))</f>
        <v>2.8129</v>
      </c>
      <c r="I4" s="36">
        <f t="shared" ref="I4:I15" si="1">IF(ISNUMBER(G4), G4, VALUE(SUBSTITUTE(G4, ",", ".")))</f>
        <v>2.8696999999999999</v>
      </c>
      <c r="J4" s="41">
        <f t="shared" ref="J4:J15" si="2">AVERAGE(H4:I4)</f>
        <v>2.8412999999999999</v>
      </c>
      <c r="K4" s="29" t="b">
        <f t="shared" ref="K4:K15" si="3">ISNUMBER(J4)</f>
        <v>1</v>
      </c>
    </row>
    <row r="5" spans="1:11" x14ac:dyDescent="0.2">
      <c r="A5" s="3" t="s">
        <v>12</v>
      </c>
      <c r="B5" s="4" t="s">
        <v>17</v>
      </c>
      <c r="C5" s="33"/>
      <c r="D5" s="36" t="s">
        <v>182</v>
      </c>
      <c r="E5" s="36" t="s">
        <v>183</v>
      </c>
      <c r="F5" s="36" t="s">
        <v>235</v>
      </c>
      <c r="G5" s="36" t="s">
        <v>236</v>
      </c>
      <c r="H5" s="36">
        <f t="shared" si="0"/>
        <v>2.7765</v>
      </c>
      <c r="I5" s="36">
        <f t="shared" si="1"/>
        <v>2.8325</v>
      </c>
      <c r="J5" s="41">
        <f t="shared" si="2"/>
        <v>2.8045</v>
      </c>
      <c r="K5" s="29" t="b">
        <f t="shared" si="3"/>
        <v>1</v>
      </c>
    </row>
    <row r="6" spans="1:11" ht="13.5" thickBot="1" x14ac:dyDescent="0.25">
      <c r="A6" s="5" t="s">
        <v>13</v>
      </c>
      <c r="B6" s="6" t="s">
        <v>14</v>
      </c>
      <c r="C6" s="34"/>
      <c r="D6" s="39" t="s">
        <v>184</v>
      </c>
      <c r="E6" s="39" t="s">
        <v>185</v>
      </c>
      <c r="F6" s="39" t="s">
        <v>237</v>
      </c>
      <c r="G6" s="39" t="s">
        <v>238</v>
      </c>
      <c r="H6" s="39">
        <f t="shared" si="0"/>
        <v>4.1578999999999997</v>
      </c>
      <c r="I6" s="39">
        <f t="shared" si="1"/>
        <v>4.2419000000000002</v>
      </c>
      <c r="J6" s="40">
        <f t="shared" si="2"/>
        <v>4.1998999999999995</v>
      </c>
      <c r="K6" s="30" t="b">
        <f t="shared" si="3"/>
        <v>1</v>
      </c>
    </row>
    <row r="7" spans="1:11" ht="13.5" thickBot="1" x14ac:dyDescent="0.25">
      <c r="A7" s="5" t="s">
        <v>264</v>
      </c>
      <c r="B7" s="4" t="s">
        <v>263</v>
      </c>
      <c r="D7" s="36" t="s">
        <v>186</v>
      </c>
      <c r="E7" s="36" t="s">
        <v>187</v>
      </c>
      <c r="F7" s="36" t="s">
        <v>239</v>
      </c>
      <c r="G7" s="36" t="s">
        <v>240</v>
      </c>
      <c r="H7" s="36">
        <f t="shared" si="0"/>
        <v>1.3463000000000001</v>
      </c>
      <c r="I7" s="36">
        <f t="shared" si="1"/>
        <v>1.3734999999999999</v>
      </c>
      <c r="J7" s="41">
        <f t="shared" si="2"/>
        <v>1.3599000000000001</v>
      </c>
      <c r="K7" s="29" t="b">
        <f t="shared" si="3"/>
        <v>1</v>
      </c>
    </row>
    <row r="8" spans="1:11" x14ac:dyDescent="0.2">
      <c r="B8" s="15" t="s">
        <v>27</v>
      </c>
      <c r="D8" s="36" t="s">
        <v>188</v>
      </c>
      <c r="E8" s="36" t="s">
        <v>189</v>
      </c>
      <c r="F8" s="36" t="s">
        <v>241</v>
      </c>
      <c r="G8" s="36" t="s">
        <v>242</v>
      </c>
      <c r="H8" s="36">
        <f t="shared" si="0"/>
        <v>3.8010000000000002</v>
      </c>
      <c r="I8" s="36">
        <f t="shared" si="1"/>
        <v>3.8778000000000001</v>
      </c>
      <c r="J8" s="41">
        <f t="shared" si="2"/>
        <v>3.8394000000000004</v>
      </c>
      <c r="K8" s="29" t="b">
        <f t="shared" si="3"/>
        <v>1</v>
      </c>
    </row>
    <row r="9" spans="1:11" x14ac:dyDescent="0.2">
      <c r="D9" s="39" t="s">
        <v>190</v>
      </c>
      <c r="E9" s="39" t="s">
        <v>191</v>
      </c>
      <c r="F9" s="39" t="s">
        <v>243</v>
      </c>
      <c r="G9" s="39" t="s">
        <v>244</v>
      </c>
      <c r="H9" s="39">
        <f t="shared" si="0"/>
        <v>4.8882000000000003</v>
      </c>
      <c r="I9" s="39">
        <f t="shared" si="1"/>
        <v>4.9870000000000001</v>
      </c>
      <c r="J9" s="40">
        <f t="shared" si="2"/>
        <v>4.9375999999999998</v>
      </c>
      <c r="K9" s="30" t="b">
        <f t="shared" si="3"/>
        <v>1</v>
      </c>
    </row>
    <row r="10" spans="1:11" x14ac:dyDescent="0.2">
      <c r="D10" s="36" t="s">
        <v>192</v>
      </c>
      <c r="E10" s="36" t="s">
        <v>193</v>
      </c>
      <c r="F10" s="36" t="s">
        <v>245</v>
      </c>
      <c r="G10" s="36" t="s">
        <v>246</v>
      </c>
      <c r="H10" s="36">
        <f t="shared" si="0"/>
        <v>3.3325</v>
      </c>
      <c r="I10" s="36">
        <f t="shared" si="1"/>
        <v>3.3999000000000001</v>
      </c>
      <c r="J10" s="41">
        <f t="shared" si="2"/>
        <v>3.3662000000000001</v>
      </c>
      <c r="K10" s="29" t="b">
        <f t="shared" si="3"/>
        <v>1</v>
      </c>
    </row>
    <row r="11" spans="1:11" x14ac:dyDescent="0.2">
      <c r="D11" s="36" t="s">
        <v>194</v>
      </c>
      <c r="E11" s="36" t="s">
        <v>195</v>
      </c>
      <c r="F11" s="36" t="s">
        <v>247</v>
      </c>
      <c r="G11" s="36" t="s">
        <v>248</v>
      </c>
      <c r="H11" s="36">
        <f t="shared" si="0"/>
        <v>0.15690000000000001</v>
      </c>
      <c r="I11" s="36">
        <f t="shared" si="1"/>
        <v>0.16009999999999999</v>
      </c>
      <c r="J11" s="41">
        <f t="shared" si="2"/>
        <v>0.1585</v>
      </c>
      <c r="K11" s="29" t="b">
        <f t="shared" si="3"/>
        <v>1</v>
      </c>
    </row>
    <row r="12" spans="1:11" x14ac:dyDescent="0.2">
      <c r="D12" s="36" t="s">
        <v>196</v>
      </c>
      <c r="E12" s="36" t="s">
        <v>197</v>
      </c>
      <c r="F12" s="36" t="s">
        <v>249</v>
      </c>
      <c r="G12" s="36" t="s">
        <v>250</v>
      </c>
      <c r="H12" s="36">
        <f t="shared" si="0"/>
        <v>0.55900000000000005</v>
      </c>
      <c r="I12" s="36">
        <f t="shared" si="1"/>
        <v>0.57020000000000004</v>
      </c>
      <c r="J12" s="41">
        <f t="shared" si="2"/>
        <v>0.56459999999999999</v>
      </c>
      <c r="K12" s="29" t="b">
        <f t="shared" si="3"/>
        <v>1</v>
      </c>
    </row>
    <row r="13" spans="1:11" x14ac:dyDescent="0.2">
      <c r="D13" s="36" t="s">
        <v>198</v>
      </c>
      <c r="E13" s="36" t="s">
        <v>199</v>
      </c>
      <c r="F13" s="36" t="s">
        <v>251</v>
      </c>
      <c r="G13" s="36" t="s">
        <v>252</v>
      </c>
      <c r="H13" s="36">
        <f t="shared" si="0"/>
        <v>0.4446</v>
      </c>
      <c r="I13" s="36">
        <f t="shared" si="1"/>
        <v>0.4536</v>
      </c>
      <c r="J13" s="41">
        <f t="shared" si="2"/>
        <v>0.4491</v>
      </c>
      <c r="K13" s="29" t="b">
        <f t="shared" si="3"/>
        <v>1</v>
      </c>
    </row>
    <row r="14" spans="1:11" x14ac:dyDescent="0.2">
      <c r="D14" s="36" t="s">
        <v>200</v>
      </c>
      <c r="E14" s="36" t="s">
        <v>201</v>
      </c>
      <c r="F14" s="36" t="s">
        <v>253</v>
      </c>
      <c r="G14" s="36" t="s">
        <v>254</v>
      </c>
      <c r="H14" s="36">
        <f t="shared" si="0"/>
        <v>0.42909999999999998</v>
      </c>
      <c r="I14" s="36">
        <f t="shared" si="1"/>
        <v>0.43769999999999998</v>
      </c>
      <c r="J14" s="41">
        <f t="shared" si="2"/>
        <v>0.43340000000000001</v>
      </c>
      <c r="K14" s="29" t="b">
        <f t="shared" si="3"/>
        <v>1</v>
      </c>
    </row>
    <row r="15" spans="1:11" x14ac:dyDescent="0.2">
      <c r="D15" s="36" t="s">
        <v>202</v>
      </c>
      <c r="E15" s="36" t="s">
        <v>203</v>
      </c>
      <c r="F15" s="36" t="s">
        <v>255</v>
      </c>
      <c r="G15" s="42" t="s">
        <v>256</v>
      </c>
      <c r="H15" s="36">
        <f t="shared" si="0"/>
        <v>5.2203999999999997</v>
      </c>
      <c r="I15" s="36">
        <f t="shared" si="1"/>
        <v>5.3258000000000001</v>
      </c>
      <c r="J15" s="41">
        <f t="shared" si="2"/>
        <v>5.2730999999999995</v>
      </c>
      <c r="K15" s="29" t="b">
        <f t="shared" si="3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BOM</vt:lpstr>
      <vt:lpstr>Do NOT Modify</vt:lpstr>
      <vt:lpstr>'Do NOT Modify'!KursyC</vt:lpstr>
      <vt:lpstr>BOM!Print_Area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michals</dc:creator>
  <cp:lastModifiedBy>michals</cp:lastModifiedBy>
  <cp:lastPrinted>2005-05-18T04:03:43Z</cp:lastPrinted>
  <dcterms:created xsi:type="dcterms:W3CDTF">2005-05-18T01:53:09Z</dcterms:created>
  <dcterms:modified xsi:type="dcterms:W3CDTF">2017-05-17T13:19:33Z</dcterms:modified>
</cp:coreProperties>
</file>