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dapple/Downloads/"/>
    </mc:Choice>
  </mc:AlternateContent>
  <xr:revisionPtr revIDLastSave="0" documentId="8_{75B3C535-99A7-6F48-8B2F-9C645873E385}" xr6:coauthVersionLast="47" xr6:coauthVersionMax="47" xr10:uidLastSave="{00000000-0000-0000-0000-000000000000}"/>
  <bookViews>
    <workbookView xWindow="0" yWindow="500" windowWidth="28800" windowHeight="16080" activeTab="1" xr2:uid="{EF9E6DDD-A57E-3C4B-BE40-B5EF837DA9AA}"/>
  </bookViews>
  <sheets>
    <sheet name="Financial&gt;" sheetId="1" r:id="rId1"/>
    <sheet name="Historical FS" sheetId="2" r:id="rId2"/>
    <sheet name="Forecasting" sheetId="9" r:id="rId3"/>
    <sheet name="Ratio Analysis" sheetId="6" r:id="rId4"/>
    <sheet name="TATA" sheetId="7" r:id="rId5"/>
    <sheet name="ADANI" sheetId="8" r:id="rId6"/>
    <sheet name="DCF" sheetId="10" r:id="rId7"/>
    <sheet name="Data&gt;" sheetId="3" r:id="rId8"/>
    <sheet name="Data Sheet" sheetId="4" r:id="rId9"/>
    <sheet name="Cash Flow Data" sheetId="5" r:id="rId10"/>
    <sheet name="Beta" sheetId="11" r:id="rId11"/>
    <sheet name="Sheet1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1" l="1" a="1"/>
  <c r="K7" i="11" s="1"/>
  <c r="K42" i="10"/>
  <c r="C37" i="10"/>
  <c r="D36" i="10" s="1"/>
  <c r="E28" i="10"/>
  <c r="J42" i="10" s="1"/>
  <c r="J20" i="10"/>
  <c r="J19" i="10"/>
  <c r="G20" i="10"/>
  <c r="K36" i="10" s="1"/>
  <c r="G19" i="10"/>
  <c r="I14" i="10"/>
  <c r="I15" i="10"/>
  <c r="I16" i="10"/>
  <c r="I17" i="10"/>
  <c r="I13" i="10"/>
  <c r="H14" i="10"/>
  <c r="K14" i="10" s="1"/>
  <c r="H15" i="10"/>
  <c r="K15" i="10" s="1"/>
  <c r="H16" i="10"/>
  <c r="K16" i="10" s="1"/>
  <c r="H17" i="10"/>
  <c r="K17" i="10" s="1"/>
  <c r="H13" i="10"/>
  <c r="K13" i="10" s="1"/>
  <c r="N15" i="9"/>
  <c r="N16" i="9"/>
  <c r="N17" i="9"/>
  <c r="N18" i="9"/>
  <c r="N14" i="9"/>
  <c r="N4" i="9" a="1"/>
  <c r="N4" i="9" s="1"/>
  <c r="N6" i="9"/>
  <c r="N7" i="9"/>
  <c r="O7" i="9" s="1"/>
  <c r="N8" i="9"/>
  <c r="O8" i="9" s="1"/>
  <c r="N9" i="9"/>
  <c r="O9" i="9" s="1"/>
  <c r="N10" i="9"/>
  <c r="N11" i="9"/>
  <c r="L2" i="9"/>
  <c r="L6" i="9"/>
  <c r="L7" i="9" s="1"/>
  <c r="L8" i="9" s="1"/>
  <c r="L9" i="9" s="1"/>
  <c r="L10" i="9" s="1"/>
  <c r="L11" i="9" s="1"/>
  <c r="L12" i="9" s="1"/>
  <c r="L13" i="9" s="1"/>
  <c r="L14" i="9" s="1"/>
  <c r="M5" i="9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L5" i="9"/>
  <c r="M4" i="9"/>
  <c r="I15" i="9"/>
  <c r="I16" i="9"/>
  <c r="I17" i="9"/>
  <c r="I18" i="9"/>
  <c r="I14" i="9"/>
  <c r="I4" i="9" a="1"/>
  <c r="I4" i="9" s="1"/>
  <c r="I6" i="9"/>
  <c r="I8" i="9"/>
  <c r="I9" i="9"/>
  <c r="J9" i="9" s="1"/>
  <c r="I10" i="9"/>
  <c r="I11" i="9"/>
  <c r="H4" i="9"/>
  <c r="C4" i="9"/>
  <c r="G2" i="9"/>
  <c r="H5" i="9"/>
  <c r="H6" i="9" s="1"/>
  <c r="H7" i="9" s="1"/>
  <c r="H8" i="9" s="1"/>
  <c r="H9" i="9" s="1"/>
  <c r="H10" i="9" s="1"/>
  <c r="H11" i="9" s="1"/>
  <c r="H12" i="9" s="1"/>
  <c r="H13" i="9" s="1"/>
  <c r="H14" i="9" s="1"/>
  <c r="H15" i="9" s="1"/>
  <c r="H16" i="9" s="1"/>
  <c r="H17" i="9" s="1"/>
  <c r="H18" i="9" s="1"/>
  <c r="G5" i="9"/>
  <c r="G6" i="9" s="1"/>
  <c r="G7" i="9" s="1"/>
  <c r="G8" i="9" s="1"/>
  <c r="G9" i="9" s="1"/>
  <c r="G10" i="9" s="1"/>
  <c r="G11" i="9" s="1"/>
  <c r="G12" i="9" s="1"/>
  <c r="G13" i="9" s="1"/>
  <c r="G14" i="9" s="1"/>
  <c r="B2" i="9"/>
  <c r="D4" i="9" a="1"/>
  <c r="D4" i="9" s="1"/>
  <c r="C5" i="9"/>
  <c r="C6" i="9" s="1"/>
  <c r="C7" i="9" s="1"/>
  <c r="C8" i="9" s="1"/>
  <c r="C9" i="9" s="1"/>
  <c r="C10" i="9" s="1"/>
  <c r="C11" i="9" s="1"/>
  <c r="C12" i="9" s="1"/>
  <c r="C13" i="9" s="1"/>
  <c r="C14" i="9" s="1"/>
  <c r="C15" i="9" s="1"/>
  <c r="C16" i="9" s="1"/>
  <c r="C17" i="9" s="1"/>
  <c r="C18" i="9" s="1"/>
  <c r="B5" i="9"/>
  <c r="B6" i="9" s="1"/>
  <c r="B7" i="9" s="1"/>
  <c r="B8" i="9" s="1"/>
  <c r="B9" i="9" s="1"/>
  <c r="B10" i="9" s="1"/>
  <c r="B11" i="9" s="1"/>
  <c r="B12" i="9" s="1"/>
  <c r="B13" i="9" s="1"/>
  <c r="B14" i="9" s="1"/>
  <c r="B15" i="9" s="1"/>
  <c r="B16" i="9" s="1"/>
  <c r="B17" i="9" s="1"/>
  <c r="B18" i="9" s="1"/>
  <c r="D19" i="8"/>
  <c r="E19" i="8" s="1"/>
  <c r="D18" i="8"/>
  <c r="E18" i="8" s="1"/>
  <c r="D17" i="8"/>
  <c r="E17" i="8" s="1"/>
  <c r="D16" i="8"/>
  <c r="E16" i="8" s="1"/>
  <c r="D15" i="8"/>
  <c r="E15" i="8" s="1"/>
  <c r="C15" i="8"/>
  <c r="C16" i="8" s="1"/>
  <c r="C17" i="8" s="1"/>
  <c r="C18" i="8" s="1"/>
  <c r="C19" i="8" s="1"/>
  <c r="B15" i="8"/>
  <c r="B16" i="8" s="1"/>
  <c r="B17" i="8" s="1"/>
  <c r="B18" i="8" s="1"/>
  <c r="B19" i="8" s="1"/>
  <c r="E15" i="7"/>
  <c r="E16" i="7"/>
  <c r="E17" i="7"/>
  <c r="E18" i="7"/>
  <c r="E19" i="7"/>
  <c r="D16" i="7"/>
  <c r="D17" i="7"/>
  <c r="D18" i="7"/>
  <c r="D19" i="7"/>
  <c r="D15" i="7"/>
  <c r="E22" i="7"/>
  <c r="D22" i="7"/>
  <c r="B19" i="7"/>
  <c r="C19" i="7"/>
  <c r="B15" i="7"/>
  <c r="B16" i="7" s="1"/>
  <c r="B17" i="7" s="1"/>
  <c r="B18" i="7" s="1"/>
  <c r="C15" i="7"/>
  <c r="C16" i="7"/>
  <c r="C17" i="7"/>
  <c r="C18" i="7" s="1"/>
  <c r="E14" i="8"/>
  <c r="E13" i="8"/>
  <c r="E12" i="8"/>
  <c r="E11" i="8"/>
  <c r="E10" i="8"/>
  <c r="E9" i="8"/>
  <c r="E8" i="8"/>
  <c r="E7" i="8"/>
  <c r="E6" i="8"/>
  <c r="E5" i="8"/>
  <c r="E4" i="8"/>
  <c r="C4" i="8"/>
  <c r="C5" i="8" s="1"/>
  <c r="C6" i="8" s="1"/>
  <c r="C7" i="8" s="1"/>
  <c r="C8" i="8" s="1"/>
  <c r="C9" i="8" s="1"/>
  <c r="C10" i="8" s="1"/>
  <c r="C11" i="8" s="1"/>
  <c r="C12" i="8" s="1"/>
  <c r="C13" i="8" s="1"/>
  <c r="C14" i="8" s="1"/>
  <c r="B4" i="8"/>
  <c r="B5" i="8" s="1"/>
  <c r="B6" i="8" s="1"/>
  <c r="B7" i="8" s="1"/>
  <c r="B8" i="8" s="1"/>
  <c r="B9" i="8" s="1"/>
  <c r="B10" i="8" s="1"/>
  <c r="B11" i="8" s="1"/>
  <c r="B12" i="8" s="1"/>
  <c r="B13" i="8" s="1"/>
  <c r="B14" i="8" s="1"/>
  <c r="E5" i="7"/>
  <c r="E6" i="7"/>
  <c r="E7" i="7"/>
  <c r="E8" i="7"/>
  <c r="E9" i="7"/>
  <c r="E10" i="7"/>
  <c r="E11" i="7"/>
  <c r="E12" i="7"/>
  <c r="E13" i="7"/>
  <c r="E14" i="7"/>
  <c r="E4" i="7"/>
  <c r="C4" i="7"/>
  <c r="C5" i="7" s="1"/>
  <c r="C6" i="7" s="1"/>
  <c r="C7" i="7" s="1"/>
  <c r="C8" i="7" s="1"/>
  <c r="C9" i="7" s="1"/>
  <c r="C10" i="7" s="1"/>
  <c r="C11" i="7" s="1"/>
  <c r="C12" i="7" s="1"/>
  <c r="C13" i="7" s="1"/>
  <c r="C14" i="7" s="1"/>
  <c r="B4" i="7"/>
  <c r="B5" i="7" s="1"/>
  <c r="B6" i="7" s="1"/>
  <c r="B7" i="7" s="1"/>
  <c r="B8" i="7" s="1"/>
  <c r="B9" i="7" s="1"/>
  <c r="B10" i="7" s="1"/>
  <c r="B11" i="7" s="1"/>
  <c r="B12" i="7" s="1"/>
  <c r="B13" i="7" s="1"/>
  <c r="B14" i="7" s="1"/>
  <c r="O40" i="6"/>
  <c r="O39" i="6"/>
  <c r="O38" i="6"/>
  <c r="O36" i="6"/>
  <c r="O35" i="6"/>
  <c r="O34" i="6"/>
  <c r="O33" i="6"/>
  <c r="O31" i="6"/>
  <c r="O30" i="6"/>
  <c r="O29" i="6"/>
  <c r="O28" i="6"/>
  <c r="O27" i="6"/>
  <c r="O25" i="6"/>
  <c r="O24" i="6"/>
  <c r="O23" i="6"/>
  <c r="O22" i="6"/>
  <c r="O21" i="6"/>
  <c r="O19" i="6"/>
  <c r="O18" i="6"/>
  <c r="O17" i="6"/>
  <c r="O15" i="6"/>
  <c r="O14" i="6"/>
  <c r="O13" i="6"/>
  <c r="O12" i="6"/>
  <c r="O11" i="6"/>
  <c r="N40" i="6"/>
  <c r="N39" i="6"/>
  <c r="N38" i="6"/>
  <c r="N36" i="6"/>
  <c r="N35" i="6"/>
  <c r="N34" i="6"/>
  <c r="N33" i="6"/>
  <c r="N31" i="6"/>
  <c r="N30" i="6"/>
  <c r="N29" i="6"/>
  <c r="N28" i="6"/>
  <c r="N27" i="6"/>
  <c r="N25" i="6"/>
  <c r="N24" i="6"/>
  <c r="N23" i="6"/>
  <c r="N22" i="6"/>
  <c r="N21" i="6"/>
  <c r="N19" i="6"/>
  <c r="N18" i="6"/>
  <c r="N17" i="6"/>
  <c r="N15" i="6"/>
  <c r="N14" i="6"/>
  <c r="N13" i="6"/>
  <c r="N12" i="6"/>
  <c r="N11" i="6"/>
  <c r="O6" i="6"/>
  <c r="O7" i="6"/>
  <c r="O8" i="6"/>
  <c r="O9" i="6"/>
  <c r="O5" i="6"/>
  <c r="N6" i="6"/>
  <c r="N7" i="6"/>
  <c r="N8" i="6"/>
  <c r="N9" i="6"/>
  <c r="N5" i="6"/>
  <c r="D38" i="6"/>
  <c r="E38" i="6"/>
  <c r="F38" i="6"/>
  <c r="G38" i="6"/>
  <c r="H38" i="6"/>
  <c r="I38" i="6"/>
  <c r="J38" i="6"/>
  <c r="K38" i="6"/>
  <c r="L38" i="6"/>
  <c r="D39" i="6"/>
  <c r="E39" i="6"/>
  <c r="F39" i="6"/>
  <c r="G39" i="6"/>
  <c r="H39" i="6"/>
  <c r="I39" i="6"/>
  <c r="J39" i="6"/>
  <c r="K39" i="6"/>
  <c r="L39" i="6"/>
  <c r="D40" i="6"/>
  <c r="E40" i="6"/>
  <c r="F40" i="6"/>
  <c r="G40" i="6"/>
  <c r="H40" i="6"/>
  <c r="I40" i="6"/>
  <c r="J40" i="6"/>
  <c r="K40" i="6"/>
  <c r="L40" i="6"/>
  <c r="C40" i="6"/>
  <c r="C39" i="6"/>
  <c r="C38" i="6"/>
  <c r="D33" i="6"/>
  <c r="D36" i="6" s="1"/>
  <c r="I33" i="6"/>
  <c r="H34" i="6"/>
  <c r="I34" i="6"/>
  <c r="J34" i="6"/>
  <c r="K34" i="6"/>
  <c r="G35" i="6"/>
  <c r="D27" i="6"/>
  <c r="E27" i="6"/>
  <c r="E33" i="6" s="1"/>
  <c r="F27" i="6"/>
  <c r="F33" i="6" s="1"/>
  <c r="G27" i="6"/>
  <c r="G33" i="6" s="1"/>
  <c r="H27" i="6"/>
  <c r="H33" i="6" s="1"/>
  <c r="I27" i="6"/>
  <c r="J27" i="6"/>
  <c r="J33" i="6" s="1"/>
  <c r="K27" i="6"/>
  <c r="K33" i="6" s="1"/>
  <c r="L27" i="6"/>
  <c r="L33" i="6" s="1"/>
  <c r="D28" i="6"/>
  <c r="D34" i="6" s="1"/>
  <c r="E28" i="6"/>
  <c r="E34" i="6" s="1"/>
  <c r="F28" i="6"/>
  <c r="F34" i="6" s="1"/>
  <c r="G28" i="6"/>
  <c r="G34" i="6" s="1"/>
  <c r="H28" i="6"/>
  <c r="I28" i="6"/>
  <c r="J28" i="6"/>
  <c r="K28" i="6"/>
  <c r="L28" i="6"/>
  <c r="L34" i="6" s="1"/>
  <c r="D29" i="6"/>
  <c r="D35" i="6" s="1"/>
  <c r="E29" i="6"/>
  <c r="E35" i="6" s="1"/>
  <c r="F29" i="6"/>
  <c r="F35" i="6" s="1"/>
  <c r="G29" i="6"/>
  <c r="H29" i="6"/>
  <c r="H35" i="6" s="1"/>
  <c r="I29" i="6"/>
  <c r="I35" i="6" s="1"/>
  <c r="J29" i="6"/>
  <c r="J35" i="6" s="1"/>
  <c r="J36" i="6" s="1"/>
  <c r="K29" i="6"/>
  <c r="K35" i="6" s="1"/>
  <c r="L29" i="6"/>
  <c r="L35" i="6" s="1"/>
  <c r="D30" i="6"/>
  <c r="E30" i="6"/>
  <c r="F30" i="6"/>
  <c r="G30" i="6"/>
  <c r="H30" i="6"/>
  <c r="I30" i="6"/>
  <c r="J30" i="6"/>
  <c r="K30" i="6"/>
  <c r="L30" i="6"/>
  <c r="D31" i="6"/>
  <c r="E31" i="6"/>
  <c r="F31" i="6"/>
  <c r="G31" i="6"/>
  <c r="H31" i="6"/>
  <c r="I31" i="6"/>
  <c r="J31" i="6"/>
  <c r="K31" i="6"/>
  <c r="L31" i="6"/>
  <c r="C31" i="6"/>
  <c r="C30" i="6"/>
  <c r="C29" i="6"/>
  <c r="C35" i="6" s="1"/>
  <c r="C28" i="6"/>
  <c r="C34" i="6" s="1"/>
  <c r="C27" i="6"/>
  <c r="C33" i="6" s="1"/>
  <c r="C36" i="6" s="1"/>
  <c r="D21" i="6"/>
  <c r="E21" i="6"/>
  <c r="F21" i="6"/>
  <c r="G21" i="6"/>
  <c r="H21" i="6"/>
  <c r="I21" i="6"/>
  <c r="J21" i="6"/>
  <c r="K21" i="6"/>
  <c r="L21" i="6"/>
  <c r="D22" i="6"/>
  <c r="D24" i="6" s="1"/>
  <c r="E22" i="6"/>
  <c r="E24" i="6" s="1"/>
  <c r="F22" i="6"/>
  <c r="G22" i="6"/>
  <c r="H22" i="6"/>
  <c r="I22" i="6"/>
  <c r="J22" i="6"/>
  <c r="K22" i="6"/>
  <c r="L22" i="6"/>
  <c r="L24" i="6" s="1"/>
  <c r="D23" i="6"/>
  <c r="E23" i="6"/>
  <c r="F23" i="6"/>
  <c r="F24" i="6" s="1"/>
  <c r="G23" i="6"/>
  <c r="H23" i="6"/>
  <c r="H24" i="6" s="1"/>
  <c r="I23" i="6"/>
  <c r="J23" i="6"/>
  <c r="K23" i="6"/>
  <c r="K24" i="6" s="1"/>
  <c r="L23" i="6"/>
  <c r="G24" i="6"/>
  <c r="D25" i="6"/>
  <c r="E25" i="6"/>
  <c r="F25" i="6"/>
  <c r="G25" i="6"/>
  <c r="H25" i="6"/>
  <c r="I25" i="6"/>
  <c r="J25" i="6"/>
  <c r="K25" i="6"/>
  <c r="L25" i="6"/>
  <c r="C25" i="6"/>
  <c r="D5" i="6"/>
  <c r="C23" i="6"/>
  <c r="C22" i="6"/>
  <c r="C21" i="6"/>
  <c r="D17" i="6"/>
  <c r="E17" i="6"/>
  <c r="F17" i="6"/>
  <c r="G17" i="6"/>
  <c r="H17" i="6"/>
  <c r="I17" i="6"/>
  <c r="J17" i="6"/>
  <c r="K17" i="6"/>
  <c r="L17" i="6"/>
  <c r="D18" i="6"/>
  <c r="E18" i="6"/>
  <c r="F18" i="6"/>
  <c r="G18" i="6"/>
  <c r="H18" i="6"/>
  <c r="I18" i="6"/>
  <c r="J18" i="6"/>
  <c r="K18" i="6"/>
  <c r="L18" i="6"/>
  <c r="J19" i="6"/>
  <c r="L19" i="6"/>
  <c r="C19" i="6"/>
  <c r="C18" i="6"/>
  <c r="C17" i="6"/>
  <c r="D11" i="6"/>
  <c r="E11" i="6"/>
  <c r="F11" i="6"/>
  <c r="G11" i="6"/>
  <c r="H11" i="6"/>
  <c r="I11" i="6"/>
  <c r="J11" i="6"/>
  <c r="K11" i="6"/>
  <c r="L11" i="6"/>
  <c r="D12" i="6"/>
  <c r="E12" i="6"/>
  <c r="F12" i="6"/>
  <c r="G12" i="6"/>
  <c r="H12" i="6"/>
  <c r="I12" i="6"/>
  <c r="J12" i="6"/>
  <c r="K12" i="6"/>
  <c r="L12" i="6"/>
  <c r="D13" i="6"/>
  <c r="D19" i="6" s="1"/>
  <c r="E13" i="6"/>
  <c r="E19" i="6" s="1"/>
  <c r="F13" i="6"/>
  <c r="F19" i="6" s="1"/>
  <c r="G13" i="6"/>
  <c r="G19" i="6" s="1"/>
  <c r="H13" i="6"/>
  <c r="H19" i="6" s="1"/>
  <c r="I13" i="6"/>
  <c r="I19" i="6" s="1"/>
  <c r="J13" i="6"/>
  <c r="K13" i="6"/>
  <c r="K19" i="6" s="1"/>
  <c r="L13" i="6"/>
  <c r="D14" i="6"/>
  <c r="E14" i="6"/>
  <c r="F14" i="6"/>
  <c r="G14" i="6"/>
  <c r="H14" i="6"/>
  <c r="I14" i="6"/>
  <c r="J14" i="6"/>
  <c r="K14" i="6"/>
  <c r="L14" i="6"/>
  <c r="D15" i="6"/>
  <c r="E15" i="6"/>
  <c r="F15" i="6"/>
  <c r="G15" i="6"/>
  <c r="H15" i="6"/>
  <c r="I15" i="6"/>
  <c r="J15" i="6"/>
  <c r="K15" i="6"/>
  <c r="L15" i="6"/>
  <c r="C15" i="6"/>
  <c r="C14" i="6"/>
  <c r="C13" i="6"/>
  <c r="C12" i="6"/>
  <c r="C11" i="6"/>
  <c r="E5" i="6"/>
  <c r="F5" i="6"/>
  <c r="G5" i="6"/>
  <c r="H5" i="6"/>
  <c r="I5" i="6"/>
  <c r="J5" i="6"/>
  <c r="K5" i="6"/>
  <c r="L5" i="6"/>
  <c r="E6" i="6"/>
  <c r="F6" i="6"/>
  <c r="G6" i="6"/>
  <c r="H6" i="6"/>
  <c r="I6" i="6"/>
  <c r="J6" i="6"/>
  <c r="K6" i="6"/>
  <c r="L6" i="6"/>
  <c r="E7" i="6"/>
  <c r="F7" i="6"/>
  <c r="G7" i="6"/>
  <c r="H7" i="6"/>
  <c r="I7" i="6"/>
  <c r="J7" i="6"/>
  <c r="K7" i="6"/>
  <c r="L7" i="6"/>
  <c r="E8" i="6"/>
  <c r="F8" i="6"/>
  <c r="G8" i="6"/>
  <c r="H8" i="6"/>
  <c r="I8" i="6"/>
  <c r="J8" i="6"/>
  <c r="K8" i="6"/>
  <c r="L8" i="6"/>
  <c r="E9" i="6"/>
  <c r="F9" i="6"/>
  <c r="G9" i="6"/>
  <c r="H9" i="6"/>
  <c r="I9" i="6"/>
  <c r="J9" i="6"/>
  <c r="K9" i="6"/>
  <c r="L9" i="6"/>
  <c r="D9" i="6"/>
  <c r="D7" i="6"/>
  <c r="D8" i="6"/>
  <c r="D6" i="6"/>
  <c r="B2" i="6"/>
  <c r="L3" i="6"/>
  <c r="K3" i="6"/>
  <c r="J3" i="6"/>
  <c r="I3" i="6"/>
  <c r="H3" i="6"/>
  <c r="G3" i="6"/>
  <c r="F3" i="6"/>
  <c r="E3" i="6"/>
  <c r="D3" i="6"/>
  <c r="C3" i="6"/>
  <c r="B2" i="13" a="1"/>
  <c r="B2" i="13" l="1"/>
  <c r="D37" i="10"/>
  <c r="E37" i="10" s="1"/>
  <c r="E36" i="10" s="1"/>
  <c r="K43" i="10"/>
  <c r="E39" i="10"/>
  <c r="K35" i="10" s="1"/>
  <c r="D35" i="10"/>
  <c r="D39" i="10" s="1"/>
  <c r="H20" i="10"/>
  <c r="I19" i="10"/>
  <c r="I20" i="10"/>
  <c r="K20" i="10"/>
  <c r="K34" i="10" s="1"/>
  <c r="K37" i="10" s="1"/>
  <c r="K28" i="10" s="1"/>
  <c r="K29" i="10" s="1"/>
  <c r="J43" i="10" s="1"/>
  <c r="K44" i="10" s="1"/>
  <c r="K19" i="10"/>
  <c r="H19" i="10"/>
  <c r="N13" i="9"/>
  <c r="N5" i="9"/>
  <c r="O6" i="9" s="1"/>
  <c r="O10" i="9"/>
  <c r="N12" i="9"/>
  <c r="O13" i="9" s="1"/>
  <c r="O14" i="9"/>
  <c r="L15" i="9"/>
  <c r="O11" i="9"/>
  <c r="I7" i="9"/>
  <c r="J7" i="9" s="1"/>
  <c r="I13" i="9"/>
  <c r="I5" i="9"/>
  <c r="I12" i="9"/>
  <c r="J13" i="9" s="1"/>
  <c r="G15" i="9"/>
  <c r="J5" i="9"/>
  <c r="J10" i="9"/>
  <c r="D11" i="9"/>
  <c r="D10" i="9"/>
  <c r="D9" i="9"/>
  <c r="D8" i="9"/>
  <c r="D7" i="9"/>
  <c r="D5" i="9"/>
  <c r="D6" i="9"/>
  <c r="E6" i="9" s="1"/>
  <c r="D13" i="9"/>
  <c r="D12" i="9"/>
  <c r="E12" i="9" s="1"/>
  <c r="D24" i="7"/>
  <c r="D23" i="7"/>
  <c r="E23" i="7" s="1"/>
  <c r="H36" i="6"/>
  <c r="L36" i="6"/>
  <c r="K36" i="6"/>
  <c r="C24" i="6"/>
  <c r="G36" i="6"/>
  <c r="F36" i="6"/>
  <c r="E36" i="6"/>
  <c r="I36" i="6"/>
  <c r="J24" i="6"/>
  <c r="I24" i="6"/>
  <c r="D106" i="2"/>
  <c r="E106" i="2"/>
  <c r="F106" i="2"/>
  <c r="G106" i="2"/>
  <c r="H106" i="2"/>
  <c r="I106" i="2"/>
  <c r="J106" i="2"/>
  <c r="K106" i="2"/>
  <c r="L106" i="2"/>
  <c r="C106" i="2"/>
  <c r="D104" i="2"/>
  <c r="E104" i="2"/>
  <c r="F104" i="2"/>
  <c r="G104" i="2"/>
  <c r="H104" i="2"/>
  <c r="I104" i="2"/>
  <c r="J104" i="2"/>
  <c r="K104" i="2"/>
  <c r="L104" i="2"/>
  <c r="C104" i="2"/>
  <c r="D96" i="2"/>
  <c r="E96" i="2"/>
  <c r="F96" i="2"/>
  <c r="G96" i="2"/>
  <c r="H96" i="2"/>
  <c r="I96" i="2"/>
  <c r="J96" i="2"/>
  <c r="K96" i="2"/>
  <c r="L96" i="2"/>
  <c r="D97" i="2"/>
  <c r="E97" i="2"/>
  <c r="F97" i="2"/>
  <c r="G97" i="2"/>
  <c r="H97" i="2"/>
  <c r="I97" i="2"/>
  <c r="J97" i="2"/>
  <c r="K97" i="2"/>
  <c r="L97" i="2"/>
  <c r="D98" i="2"/>
  <c r="E98" i="2"/>
  <c r="F98" i="2"/>
  <c r="G98" i="2"/>
  <c r="H98" i="2"/>
  <c r="I98" i="2"/>
  <c r="J98" i="2"/>
  <c r="K98" i="2"/>
  <c r="L98" i="2"/>
  <c r="D99" i="2"/>
  <c r="E99" i="2"/>
  <c r="F99" i="2"/>
  <c r="G99" i="2"/>
  <c r="H99" i="2"/>
  <c r="I99" i="2"/>
  <c r="J99" i="2"/>
  <c r="K99" i="2"/>
  <c r="L99" i="2"/>
  <c r="D100" i="2"/>
  <c r="E100" i="2"/>
  <c r="F100" i="2"/>
  <c r="G100" i="2"/>
  <c r="H100" i="2"/>
  <c r="I100" i="2"/>
  <c r="J100" i="2"/>
  <c r="K100" i="2"/>
  <c r="L100" i="2"/>
  <c r="D101" i="2"/>
  <c r="E101" i="2"/>
  <c r="F101" i="2"/>
  <c r="G101" i="2"/>
  <c r="H101" i="2"/>
  <c r="I101" i="2"/>
  <c r="J101" i="2"/>
  <c r="K101" i="2"/>
  <c r="L101" i="2"/>
  <c r="D102" i="2"/>
  <c r="E102" i="2"/>
  <c r="F102" i="2"/>
  <c r="G102" i="2"/>
  <c r="H102" i="2"/>
  <c r="I102" i="2"/>
  <c r="J102" i="2"/>
  <c r="K102" i="2"/>
  <c r="L102" i="2"/>
  <c r="D103" i="2"/>
  <c r="E103" i="2"/>
  <c r="F103" i="2"/>
  <c r="G103" i="2"/>
  <c r="H103" i="2"/>
  <c r="I103" i="2"/>
  <c r="J103" i="2"/>
  <c r="K103" i="2"/>
  <c r="L103" i="2"/>
  <c r="C97" i="2"/>
  <c r="C98" i="2"/>
  <c r="C99" i="2"/>
  <c r="C100" i="2"/>
  <c r="C101" i="2"/>
  <c r="C102" i="2"/>
  <c r="C103" i="2"/>
  <c r="C96" i="2"/>
  <c r="L93" i="2"/>
  <c r="K93" i="2"/>
  <c r="J93" i="2"/>
  <c r="I93" i="2"/>
  <c r="H93" i="2"/>
  <c r="G93" i="2"/>
  <c r="F93" i="2"/>
  <c r="E93" i="2"/>
  <c r="D93" i="2"/>
  <c r="C93" i="2"/>
  <c r="D82" i="2"/>
  <c r="E82" i="2"/>
  <c r="F82" i="2"/>
  <c r="G82" i="2"/>
  <c r="H82" i="2"/>
  <c r="I82" i="2"/>
  <c r="J82" i="2"/>
  <c r="K82" i="2"/>
  <c r="L82" i="2"/>
  <c r="D83" i="2"/>
  <c r="E83" i="2"/>
  <c r="F83" i="2"/>
  <c r="G83" i="2"/>
  <c r="H83" i="2"/>
  <c r="I83" i="2"/>
  <c r="J83" i="2"/>
  <c r="K83" i="2"/>
  <c r="L83" i="2"/>
  <c r="D84" i="2"/>
  <c r="E84" i="2"/>
  <c r="F84" i="2"/>
  <c r="G84" i="2"/>
  <c r="H84" i="2"/>
  <c r="I84" i="2"/>
  <c r="J84" i="2"/>
  <c r="K84" i="2"/>
  <c r="L84" i="2"/>
  <c r="D85" i="2"/>
  <c r="E85" i="2"/>
  <c r="F85" i="2"/>
  <c r="G85" i="2"/>
  <c r="H85" i="2"/>
  <c r="I85" i="2"/>
  <c r="J85" i="2"/>
  <c r="K85" i="2"/>
  <c r="L85" i="2"/>
  <c r="D86" i="2"/>
  <c r="E86" i="2"/>
  <c r="F86" i="2"/>
  <c r="G86" i="2"/>
  <c r="H86" i="2"/>
  <c r="I86" i="2"/>
  <c r="J86" i="2"/>
  <c r="K86" i="2"/>
  <c r="L86" i="2"/>
  <c r="D87" i="2"/>
  <c r="E87" i="2"/>
  <c r="F87" i="2"/>
  <c r="G87" i="2"/>
  <c r="H87" i="2"/>
  <c r="I87" i="2"/>
  <c r="J87" i="2"/>
  <c r="K87" i="2"/>
  <c r="L87" i="2"/>
  <c r="D88" i="2"/>
  <c r="E88" i="2"/>
  <c r="F88" i="2"/>
  <c r="G88" i="2"/>
  <c r="H88" i="2"/>
  <c r="I88" i="2"/>
  <c r="J88" i="2"/>
  <c r="K88" i="2"/>
  <c r="L88" i="2"/>
  <c r="D89" i="2"/>
  <c r="E89" i="2"/>
  <c r="F89" i="2"/>
  <c r="G89" i="2"/>
  <c r="H89" i="2"/>
  <c r="I89" i="2"/>
  <c r="J89" i="2"/>
  <c r="K89" i="2"/>
  <c r="L89" i="2"/>
  <c r="D90" i="2"/>
  <c r="E90" i="2"/>
  <c r="F90" i="2"/>
  <c r="G90" i="2"/>
  <c r="H90" i="2"/>
  <c r="I90" i="2"/>
  <c r="J90" i="2"/>
  <c r="K90" i="2"/>
  <c r="L90" i="2"/>
  <c r="D91" i="2"/>
  <c r="E91" i="2"/>
  <c r="F91" i="2"/>
  <c r="G91" i="2"/>
  <c r="H91" i="2"/>
  <c r="I91" i="2"/>
  <c r="J91" i="2"/>
  <c r="K91" i="2"/>
  <c r="L91" i="2"/>
  <c r="D92" i="2"/>
  <c r="E92" i="2"/>
  <c r="F92" i="2"/>
  <c r="G92" i="2"/>
  <c r="H92" i="2"/>
  <c r="I92" i="2"/>
  <c r="J92" i="2"/>
  <c r="K92" i="2"/>
  <c r="L92" i="2"/>
  <c r="C83" i="2"/>
  <c r="C84" i="2"/>
  <c r="C85" i="2"/>
  <c r="C86" i="2"/>
  <c r="C87" i="2"/>
  <c r="C88" i="2"/>
  <c r="C89" i="2"/>
  <c r="C90" i="2"/>
  <c r="C91" i="2"/>
  <c r="C92" i="2"/>
  <c r="C82" i="2"/>
  <c r="D79" i="2"/>
  <c r="E79" i="2"/>
  <c r="F79" i="2"/>
  <c r="G79" i="2"/>
  <c r="H79" i="2"/>
  <c r="I79" i="2"/>
  <c r="J79" i="2"/>
  <c r="K79" i="2"/>
  <c r="L79" i="2"/>
  <c r="C79" i="2"/>
  <c r="D71" i="2"/>
  <c r="E71" i="2"/>
  <c r="F71" i="2"/>
  <c r="G71" i="2"/>
  <c r="H71" i="2"/>
  <c r="I71" i="2"/>
  <c r="J71" i="2"/>
  <c r="K71" i="2"/>
  <c r="L71" i="2"/>
  <c r="D72" i="2"/>
  <c r="E72" i="2"/>
  <c r="F72" i="2"/>
  <c r="G72" i="2"/>
  <c r="H72" i="2"/>
  <c r="I72" i="2"/>
  <c r="J72" i="2"/>
  <c r="K72" i="2"/>
  <c r="L72" i="2"/>
  <c r="D73" i="2"/>
  <c r="E73" i="2"/>
  <c r="F73" i="2"/>
  <c r="G73" i="2"/>
  <c r="H73" i="2"/>
  <c r="I73" i="2"/>
  <c r="J73" i="2"/>
  <c r="K73" i="2"/>
  <c r="L73" i="2"/>
  <c r="D74" i="2"/>
  <c r="E74" i="2"/>
  <c r="F74" i="2"/>
  <c r="G74" i="2"/>
  <c r="H74" i="2"/>
  <c r="I74" i="2"/>
  <c r="J74" i="2"/>
  <c r="K74" i="2"/>
  <c r="L74" i="2"/>
  <c r="D75" i="2"/>
  <c r="E75" i="2"/>
  <c r="F75" i="2"/>
  <c r="G75" i="2"/>
  <c r="H75" i="2"/>
  <c r="I75" i="2"/>
  <c r="J75" i="2"/>
  <c r="K75" i="2"/>
  <c r="L75" i="2"/>
  <c r="D76" i="2"/>
  <c r="E76" i="2"/>
  <c r="F76" i="2"/>
  <c r="G76" i="2"/>
  <c r="H76" i="2"/>
  <c r="I76" i="2"/>
  <c r="J76" i="2"/>
  <c r="K76" i="2"/>
  <c r="L76" i="2"/>
  <c r="D77" i="2"/>
  <c r="E77" i="2"/>
  <c r="F77" i="2"/>
  <c r="G77" i="2"/>
  <c r="H77" i="2"/>
  <c r="I77" i="2"/>
  <c r="J77" i="2"/>
  <c r="K77" i="2"/>
  <c r="L77" i="2"/>
  <c r="D78" i="2"/>
  <c r="E78" i="2"/>
  <c r="F78" i="2"/>
  <c r="G78" i="2"/>
  <c r="H78" i="2"/>
  <c r="I78" i="2"/>
  <c r="J78" i="2"/>
  <c r="K78" i="2"/>
  <c r="L78" i="2"/>
  <c r="C72" i="2"/>
  <c r="C73" i="2"/>
  <c r="C74" i="2"/>
  <c r="C75" i="2"/>
  <c r="C76" i="2"/>
  <c r="C77" i="2"/>
  <c r="C78" i="2"/>
  <c r="C71" i="2"/>
  <c r="D66" i="2"/>
  <c r="I66" i="2"/>
  <c r="C66" i="2"/>
  <c r="D64" i="2"/>
  <c r="E64" i="2"/>
  <c r="E66" i="2" s="1"/>
  <c r="F64" i="2"/>
  <c r="F66" i="2" s="1"/>
  <c r="G64" i="2"/>
  <c r="G66" i="2" s="1"/>
  <c r="H64" i="2"/>
  <c r="H66" i="2" s="1"/>
  <c r="I64" i="2"/>
  <c r="J64" i="2"/>
  <c r="J66" i="2" s="1"/>
  <c r="K64" i="2"/>
  <c r="K66" i="2" s="1"/>
  <c r="L64" i="2"/>
  <c r="L66" i="2" s="1"/>
  <c r="C64" i="2"/>
  <c r="D56" i="2"/>
  <c r="E56" i="2"/>
  <c r="F56" i="2"/>
  <c r="G56" i="2"/>
  <c r="H56" i="2"/>
  <c r="I56" i="2"/>
  <c r="J56" i="2"/>
  <c r="J57" i="2" s="1"/>
  <c r="K56" i="2"/>
  <c r="K57" i="2" s="1"/>
  <c r="L56" i="2"/>
  <c r="C57" i="2"/>
  <c r="D57" i="2"/>
  <c r="E57" i="2"/>
  <c r="F57" i="2"/>
  <c r="G57" i="2"/>
  <c r="H57" i="2"/>
  <c r="I57" i="2"/>
  <c r="L57" i="2"/>
  <c r="C56" i="2"/>
  <c r="D62" i="2"/>
  <c r="E62" i="2"/>
  <c r="F62" i="2"/>
  <c r="G62" i="2"/>
  <c r="H62" i="2"/>
  <c r="I62" i="2"/>
  <c r="J62" i="2"/>
  <c r="K62" i="2"/>
  <c r="L62" i="2"/>
  <c r="C62" i="2"/>
  <c r="D59" i="2"/>
  <c r="E59" i="2"/>
  <c r="F59" i="2"/>
  <c r="G59" i="2"/>
  <c r="H59" i="2"/>
  <c r="I59" i="2"/>
  <c r="J59" i="2"/>
  <c r="K59" i="2"/>
  <c r="L59" i="2"/>
  <c r="D60" i="2"/>
  <c r="E60" i="2"/>
  <c r="F60" i="2"/>
  <c r="G60" i="2"/>
  <c r="H60" i="2"/>
  <c r="I60" i="2"/>
  <c r="J60" i="2"/>
  <c r="K60" i="2"/>
  <c r="L60" i="2"/>
  <c r="D61" i="2"/>
  <c r="E61" i="2"/>
  <c r="F61" i="2"/>
  <c r="G61" i="2"/>
  <c r="H61" i="2"/>
  <c r="I61" i="2"/>
  <c r="J61" i="2"/>
  <c r="K61" i="2"/>
  <c r="L61" i="2"/>
  <c r="C60" i="2"/>
  <c r="C61" i="2"/>
  <c r="C59" i="2"/>
  <c r="D53" i="2"/>
  <c r="E53" i="2"/>
  <c r="F53" i="2"/>
  <c r="G53" i="2"/>
  <c r="H53" i="2"/>
  <c r="I53" i="2"/>
  <c r="J53" i="2"/>
  <c r="K53" i="2"/>
  <c r="L53" i="2"/>
  <c r="D54" i="2"/>
  <c r="E54" i="2"/>
  <c r="F54" i="2"/>
  <c r="G54" i="2"/>
  <c r="H54" i="2"/>
  <c r="I54" i="2"/>
  <c r="J54" i="2"/>
  <c r="K54" i="2"/>
  <c r="L54" i="2"/>
  <c r="D55" i="2"/>
  <c r="E55" i="2"/>
  <c r="F55" i="2"/>
  <c r="G55" i="2"/>
  <c r="H55" i="2"/>
  <c r="I55" i="2"/>
  <c r="J55" i="2"/>
  <c r="K55" i="2"/>
  <c r="L55" i="2"/>
  <c r="C54" i="2"/>
  <c r="C55" i="2"/>
  <c r="C53" i="2"/>
  <c r="D51" i="2"/>
  <c r="E51" i="2"/>
  <c r="F51" i="2"/>
  <c r="G51" i="2"/>
  <c r="H51" i="2"/>
  <c r="I51" i="2"/>
  <c r="J51" i="2"/>
  <c r="K51" i="2"/>
  <c r="L51" i="2"/>
  <c r="C51" i="2"/>
  <c r="D47" i="2"/>
  <c r="E47" i="2"/>
  <c r="F47" i="2"/>
  <c r="G47" i="2"/>
  <c r="H47" i="2"/>
  <c r="I47" i="2"/>
  <c r="J47" i="2"/>
  <c r="K47" i="2"/>
  <c r="L47" i="2"/>
  <c r="D48" i="2"/>
  <c r="E48" i="2"/>
  <c r="F48" i="2"/>
  <c r="G48" i="2"/>
  <c r="H48" i="2"/>
  <c r="I48" i="2"/>
  <c r="J48" i="2"/>
  <c r="K48" i="2"/>
  <c r="L48" i="2"/>
  <c r="D49" i="2"/>
  <c r="E49" i="2"/>
  <c r="F49" i="2"/>
  <c r="G49" i="2"/>
  <c r="H49" i="2"/>
  <c r="I49" i="2"/>
  <c r="J49" i="2"/>
  <c r="K49" i="2"/>
  <c r="L49" i="2"/>
  <c r="D50" i="2"/>
  <c r="E50" i="2"/>
  <c r="F50" i="2"/>
  <c r="G50" i="2"/>
  <c r="H50" i="2"/>
  <c r="I50" i="2"/>
  <c r="J50" i="2"/>
  <c r="K50" i="2"/>
  <c r="L50" i="2"/>
  <c r="C48" i="2"/>
  <c r="C49" i="2"/>
  <c r="C50" i="2"/>
  <c r="C47" i="2"/>
  <c r="D35" i="2"/>
  <c r="D40" i="2" s="1"/>
  <c r="E35" i="2"/>
  <c r="E40" i="2" s="1"/>
  <c r="F35" i="2"/>
  <c r="F40" i="2" s="1"/>
  <c r="G35" i="2"/>
  <c r="G40" i="2" s="1"/>
  <c r="H35" i="2"/>
  <c r="H40" i="2" s="1"/>
  <c r="I35" i="2"/>
  <c r="I40" i="2" s="1"/>
  <c r="J35" i="2"/>
  <c r="J40" i="2" s="1"/>
  <c r="K35" i="2"/>
  <c r="K40" i="2" s="1"/>
  <c r="L35" i="2"/>
  <c r="L40" i="2" s="1"/>
  <c r="M35" i="2"/>
  <c r="M40" i="2" s="1"/>
  <c r="C35" i="2"/>
  <c r="C40" i="2" s="1"/>
  <c r="M29" i="2"/>
  <c r="D29" i="2"/>
  <c r="E29" i="2"/>
  <c r="F29" i="2"/>
  <c r="G29" i="2"/>
  <c r="H29" i="2"/>
  <c r="I29" i="2"/>
  <c r="J29" i="2"/>
  <c r="K29" i="2"/>
  <c r="L29" i="2"/>
  <c r="C29" i="2"/>
  <c r="M23" i="2"/>
  <c r="D23" i="2"/>
  <c r="E23" i="2"/>
  <c r="F23" i="2"/>
  <c r="G23" i="2"/>
  <c r="H23" i="2"/>
  <c r="I23" i="2"/>
  <c r="J23" i="2"/>
  <c r="K23" i="2"/>
  <c r="L23" i="2"/>
  <c r="C23" i="2"/>
  <c r="M20" i="2"/>
  <c r="D20" i="2"/>
  <c r="E20" i="2"/>
  <c r="F20" i="2"/>
  <c r="G20" i="2"/>
  <c r="H20" i="2"/>
  <c r="I20" i="2"/>
  <c r="J20" i="2"/>
  <c r="K20" i="2"/>
  <c r="L20" i="2"/>
  <c r="C20" i="2"/>
  <c r="M17" i="2"/>
  <c r="D51" i="4"/>
  <c r="E51" i="4"/>
  <c r="F51" i="4"/>
  <c r="G51" i="4"/>
  <c r="H51" i="4"/>
  <c r="I51" i="4"/>
  <c r="J51" i="4"/>
  <c r="K51" i="4"/>
  <c r="C51" i="4"/>
  <c r="B51" i="4"/>
  <c r="O5" i="9" l="1"/>
  <c r="L16" i="9"/>
  <c r="O15" i="9"/>
  <c r="O12" i="9"/>
  <c r="J8" i="9"/>
  <c r="J11" i="9"/>
  <c r="G16" i="9"/>
  <c r="J15" i="9"/>
  <c r="J14" i="9"/>
  <c r="J6" i="9"/>
  <c r="J12" i="9"/>
  <c r="E8" i="9"/>
  <c r="E9" i="9"/>
  <c r="D16" i="9"/>
  <c r="E13" i="9"/>
  <c r="E11" i="9"/>
  <c r="E5" i="9"/>
  <c r="D15" i="9"/>
  <c r="D17" i="9"/>
  <c r="E17" i="9" s="1"/>
  <c r="E10" i="9"/>
  <c r="D14" i="9"/>
  <c r="E14" i="9" s="1"/>
  <c r="E7" i="9"/>
  <c r="D18" i="9"/>
  <c r="E24" i="7"/>
  <c r="D26" i="7"/>
  <c r="D25" i="7"/>
  <c r="E25" i="7" s="1"/>
  <c r="M26" i="2"/>
  <c r="M32" i="2" s="1"/>
  <c r="D14" i="2"/>
  <c r="E14" i="2"/>
  <c r="F14" i="2"/>
  <c r="G14" i="2"/>
  <c r="H14" i="2"/>
  <c r="I14" i="2"/>
  <c r="J14" i="2"/>
  <c r="K14" i="2"/>
  <c r="L14" i="2"/>
  <c r="C14" i="2"/>
  <c r="M8" i="2"/>
  <c r="C8" i="2" a="1"/>
  <c r="C8" i="2" s="1"/>
  <c r="D8" i="2" a="1"/>
  <c r="D8" i="2" s="1"/>
  <c r="E8" i="2" a="1"/>
  <c r="E8" i="2" s="1"/>
  <c r="F8" i="2" a="1"/>
  <c r="F8" i="2" s="1"/>
  <c r="G8" i="2" a="1"/>
  <c r="G8" i="2" s="1"/>
  <c r="H8" i="2" a="1"/>
  <c r="H8" i="2" s="1"/>
  <c r="I8" i="2" a="1"/>
  <c r="I8" i="2" s="1"/>
  <c r="J8" i="2" a="1"/>
  <c r="J8" i="2" s="1"/>
  <c r="K8" i="2" a="1"/>
  <c r="K8" i="2" s="1"/>
  <c r="L8" i="2" a="1"/>
  <c r="L8" i="2" s="1"/>
  <c r="M5" i="2"/>
  <c r="M15" i="2" s="1"/>
  <c r="D5" i="2"/>
  <c r="D21" i="2" s="1"/>
  <c r="E5" i="2"/>
  <c r="E24" i="2" s="1"/>
  <c r="F5" i="2"/>
  <c r="F24" i="2" s="1"/>
  <c r="G5" i="2"/>
  <c r="H5" i="2"/>
  <c r="H21" i="2" s="1"/>
  <c r="I5" i="2"/>
  <c r="I24" i="2" s="1"/>
  <c r="J5" i="2"/>
  <c r="J21" i="2" s="1"/>
  <c r="K5" i="2"/>
  <c r="L5" i="2"/>
  <c r="L21" i="2" s="1"/>
  <c r="C5" i="2"/>
  <c r="D3" i="2"/>
  <c r="E3" i="2"/>
  <c r="F3" i="2"/>
  <c r="G3" i="2"/>
  <c r="H3" i="2"/>
  <c r="I3" i="2"/>
  <c r="J3" i="2"/>
  <c r="K3" i="2"/>
  <c r="L3" i="2"/>
  <c r="C3" i="2"/>
  <c r="B2" i="2"/>
  <c r="B6" i="4"/>
  <c r="E1" i="4"/>
  <c r="O16" i="9" l="1"/>
  <c r="L17" i="9"/>
  <c r="J16" i="9"/>
  <c r="G17" i="9"/>
  <c r="E15" i="9"/>
  <c r="E18" i="9"/>
  <c r="E16" i="9"/>
  <c r="E26" i="7"/>
  <c r="M30" i="2"/>
  <c r="C11" i="2"/>
  <c r="C17" i="2" s="1"/>
  <c r="E9" i="2"/>
  <c r="M37" i="2"/>
  <c r="M43" i="2" s="1"/>
  <c r="M33" i="2"/>
  <c r="M27" i="2"/>
  <c r="F9" i="2"/>
  <c r="D24" i="2"/>
  <c r="L24" i="2"/>
  <c r="F6" i="2"/>
  <c r="E21" i="2"/>
  <c r="C24" i="2"/>
  <c r="M21" i="2"/>
  <c r="F21" i="2"/>
  <c r="J24" i="2"/>
  <c r="I15" i="2"/>
  <c r="H6" i="2"/>
  <c r="H24" i="2"/>
  <c r="G6" i="2"/>
  <c r="G24" i="2"/>
  <c r="J9" i="2"/>
  <c r="G21" i="2"/>
  <c r="F15" i="2"/>
  <c r="D15" i="2"/>
  <c r="I21" i="2"/>
  <c r="I9" i="2"/>
  <c r="C15" i="2"/>
  <c r="E15" i="2"/>
  <c r="K9" i="2"/>
  <c r="M24" i="2"/>
  <c r="K21" i="2"/>
  <c r="C21" i="2"/>
  <c r="K24" i="2"/>
  <c r="M18" i="2"/>
  <c r="L11" i="2"/>
  <c r="H9" i="2"/>
  <c r="I6" i="2"/>
  <c r="G11" i="2"/>
  <c r="I11" i="2"/>
  <c r="L15" i="2"/>
  <c r="F11" i="2"/>
  <c r="D9" i="2"/>
  <c r="K15" i="2"/>
  <c r="C9" i="2"/>
  <c r="J15" i="2"/>
  <c r="H15" i="2"/>
  <c r="J6" i="2"/>
  <c r="J11" i="2"/>
  <c r="G15" i="2"/>
  <c r="E11" i="2"/>
  <c r="D11" i="2"/>
  <c r="H11" i="2"/>
  <c r="E6" i="2"/>
  <c r="G9" i="2"/>
  <c r="K11" i="2"/>
  <c r="M9" i="2"/>
  <c r="L6" i="2"/>
  <c r="D6" i="2"/>
  <c r="L9" i="2"/>
  <c r="K6" i="2"/>
  <c r="M11" i="2"/>
  <c r="M12" i="2" s="1"/>
  <c r="M6" i="2"/>
  <c r="O17" i="9" l="1"/>
  <c r="L18" i="9"/>
  <c r="O18" i="9" s="1"/>
  <c r="J17" i="9"/>
  <c r="G18" i="9"/>
  <c r="J18" i="9" s="1"/>
  <c r="C12" i="2"/>
  <c r="M41" i="2"/>
  <c r="J17" i="2"/>
  <c r="J12" i="2"/>
  <c r="I17" i="2"/>
  <c r="I12" i="2"/>
  <c r="L17" i="2"/>
  <c r="L12" i="2"/>
  <c r="F17" i="2"/>
  <c r="F12" i="2"/>
  <c r="K17" i="2"/>
  <c r="K12" i="2"/>
  <c r="G17" i="2"/>
  <c r="G12" i="2"/>
  <c r="C18" i="2"/>
  <c r="C26" i="2"/>
  <c r="H17" i="2"/>
  <c r="H12" i="2"/>
  <c r="D17" i="2"/>
  <c r="D12" i="2"/>
  <c r="E17" i="2"/>
  <c r="E12" i="2"/>
  <c r="C27" i="2" l="1"/>
  <c r="C32" i="2"/>
  <c r="C30" i="2"/>
  <c r="F18" i="2"/>
  <c r="F26" i="2"/>
  <c r="L18" i="2"/>
  <c r="L26" i="2"/>
  <c r="E18" i="2"/>
  <c r="E26" i="2"/>
  <c r="H18" i="2"/>
  <c r="H26" i="2"/>
  <c r="G18" i="2"/>
  <c r="G26" i="2"/>
  <c r="I18" i="2"/>
  <c r="I26" i="2"/>
  <c r="D18" i="2"/>
  <c r="D26" i="2"/>
  <c r="K18" i="2"/>
  <c r="K26" i="2"/>
  <c r="J18" i="2"/>
  <c r="J26" i="2"/>
  <c r="I32" i="2" l="1"/>
  <c r="I27" i="2"/>
  <c r="I30" i="2"/>
  <c r="J27" i="2"/>
  <c r="J30" i="2"/>
  <c r="J32" i="2"/>
  <c r="F27" i="2"/>
  <c r="F32" i="2"/>
  <c r="F30" i="2"/>
  <c r="H32" i="2"/>
  <c r="H27" i="2"/>
  <c r="H30" i="2"/>
  <c r="L30" i="2"/>
  <c r="L32" i="2"/>
  <c r="L27" i="2"/>
  <c r="G27" i="2"/>
  <c r="G32" i="2"/>
  <c r="G30" i="2"/>
  <c r="K32" i="2"/>
  <c r="K27" i="2"/>
  <c r="K30" i="2"/>
  <c r="C37" i="2"/>
  <c r="C33" i="2"/>
  <c r="D32" i="2"/>
  <c r="D27" i="2"/>
  <c r="D30" i="2"/>
  <c r="E27" i="2"/>
  <c r="E32" i="2"/>
  <c r="E30" i="2"/>
  <c r="C41" i="2" l="1"/>
  <c r="C43" i="2" s="1"/>
  <c r="D33" i="2"/>
  <c r="D37" i="2"/>
  <c r="J33" i="2"/>
  <c r="J37" i="2"/>
  <c r="J43" i="2" s="1"/>
  <c r="F37" i="2"/>
  <c r="F33" i="2"/>
  <c r="L33" i="2"/>
  <c r="L37" i="2"/>
  <c r="E37" i="2"/>
  <c r="E33" i="2"/>
  <c r="K33" i="2"/>
  <c r="K37" i="2"/>
  <c r="H33" i="2"/>
  <c r="H37" i="2"/>
  <c r="H43" i="2" s="1"/>
  <c r="G37" i="2"/>
  <c r="G43" i="2" s="1"/>
  <c r="G33" i="2"/>
  <c r="I37" i="2"/>
  <c r="I43" i="2" s="1"/>
  <c r="I33" i="2"/>
  <c r="G38" i="2" l="1"/>
  <c r="G41" i="2"/>
  <c r="F38" i="2"/>
  <c r="F41" i="2"/>
  <c r="F43" i="2" s="1"/>
  <c r="L38" i="2"/>
  <c r="L41" i="2"/>
  <c r="L43" i="2" s="1"/>
  <c r="M38" i="2"/>
  <c r="H38" i="2"/>
  <c r="H41" i="2"/>
  <c r="K38" i="2"/>
  <c r="K41" i="2"/>
  <c r="K43" i="2" s="1"/>
  <c r="J38" i="2"/>
  <c r="J41" i="2"/>
  <c r="D38" i="2"/>
  <c r="D41" i="2"/>
  <c r="D43" i="2" s="1"/>
  <c r="I38" i="2"/>
  <c r="I41" i="2"/>
  <c r="E38" i="2"/>
  <c r="E41" i="2"/>
  <c r="E4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1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</futureMetadata>
  <cellMetadata count="1">
    <bk>
      <rc t="1" v="0"/>
    </bk>
  </cellMetadata>
  <valueMetadata count="519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</valueMetadata>
</metadata>
</file>

<file path=xl/sharedStrings.xml><?xml version="1.0" encoding="utf-8"?>
<sst xmlns="http://schemas.openxmlformats.org/spreadsheetml/2006/main" count="712" uniqueCount="512">
  <si>
    <t>COMPANY NAME</t>
  </si>
  <si>
    <t>TATA MOTORS LTD</t>
  </si>
  <si>
    <t>LATEST VERSION</t>
  </si>
  <si>
    <t>PLEASE DO NOT MAKE ANY CHANGES TO THIS SHEET</t>
  </si>
  <si>
    <t>CURRENT VERSION</t>
  </si>
  <si>
    <t>META</t>
  </si>
  <si>
    <t>Number of shares</t>
  </si>
  <si>
    <t>Face Value</t>
  </si>
  <si>
    <t>Current Price</t>
  </si>
  <si>
    <t>Market Capitalization</t>
  </si>
  <si>
    <t>PROFIT &amp; LOSS</t>
  </si>
  <si>
    <t>Report Date</t>
  </si>
  <si>
    <t>Sales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</si>
  <si>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</si>
  <si>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</si>
  <si>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</si>
  <si>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</si>
  <si>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</si>
  <si>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</si>
  <si>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</si>
  <si>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Other Income</t>
  </si>
  <si>
    <t>Depreciation</t>
  </si>
  <si>
    <t>Interest</t>
  </si>
  <si>
    <t>Profit before tax</t>
  </si>
  <si>
    <t>Tax</t>
  </si>
  <si>
    <t>Net profit</t>
  </si>
  <si>
    <t>Dividend Amount</t>
  </si>
  <si>
    <t>Quarters</t>
  </si>
  <si>
    <t>Expenses</t>
  </si>
  <si>
    <t>Operating Profit</t>
  </si>
  <si>
    <t>BALANCE SHEET</t>
  </si>
  <si>
    <t>Equity Share Capital</t>
  </si>
  <si>
    <t>Reserves</t>
  </si>
  <si>
    <t>Borrowings</t>
  </si>
  <si>
    <t>Other Liabilities</t>
  </si>
  <si>
    <t>Total</t>
  </si>
  <si>
    <t>Net Block</t>
  </si>
  <si>
    <t>Capital Work in Progress</t>
  </si>
  <si>
    <t>Investments</t>
  </si>
  <si>
    <t>Other Assets</t>
  </si>
  <si>
    <t>Receivables</t>
  </si>
  <si>
    <t>Inventory</t>
  </si>
  <si>
    <t>Cash &amp; Bank</t>
  </si>
  <si>
    <t>No. of Equity Shares</t>
  </si>
  <si>
    <t>New Bonus Shares</t>
  </si>
  <si>
    <t>Face value</t>
  </si>
  <si>
    <t>CASH FLOW:</t>
  </si>
  <si>
    <t>Cash from Operating Activity</t>
  </si>
  <si>
    <t>Cash from Investing Activity</t>
  </si>
  <si>
    <t>Cash from Financing Activity</t>
  </si>
  <si>
    <t>Net Cash Flow</t>
  </si>
  <si>
    <t>PRICE:</t>
  </si>
  <si>
    <t>DERIVED:</t>
  </si>
  <si>
    <t>Adjusted Equity Shares in Cr</t>
  </si>
  <si>
    <t>Years</t>
  </si>
  <si>
    <t>LTM</t>
  </si>
  <si>
    <t>#</t>
  </si>
  <si>
    <t>Income Statements</t>
  </si>
  <si>
    <t>Sales Growth</t>
  </si>
  <si>
    <t>COGS</t>
  </si>
  <si>
    <t>COGS % Sales</t>
  </si>
  <si>
    <t>Gross Profit</t>
  </si>
  <si>
    <t xml:space="preserve">Selling &amp; General Expenses </t>
  </si>
  <si>
    <t>S&amp;G Exp % Sales</t>
  </si>
  <si>
    <t>EBITDA</t>
  </si>
  <si>
    <t>EBITDA % Margin</t>
  </si>
  <si>
    <t xml:space="preserve">Interest </t>
  </si>
  <si>
    <t>Interest % Sales</t>
  </si>
  <si>
    <t>Depreciation % Sales</t>
  </si>
  <si>
    <t>Gross Margin</t>
  </si>
  <si>
    <t>Earnings Before Tax</t>
  </si>
  <si>
    <t>EBT % Sales</t>
  </si>
  <si>
    <t>Effective Tax Rate</t>
  </si>
  <si>
    <t>Net Profit</t>
  </si>
  <si>
    <t>Net Margins</t>
  </si>
  <si>
    <t>No of Equity Shares</t>
  </si>
  <si>
    <t>Earnings Per Share</t>
  </si>
  <si>
    <t>Dividend Per Share</t>
  </si>
  <si>
    <t>EPS Growth %</t>
  </si>
  <si>
    <t>Dividends Payout Ratio</t>
  </si>
  <si>
    <t>Retained Earnings</t>
  </si>
  <si>
    <t>Balance Sheet</t>
  </si>
  <si>
    <t>Total Liabilities</t>
  </si>
  <si>
    <t>Fixed Assets Net Block</t>
  </si>
  <si>
    <t>Total Non-Current Assets</t>
  </si>
  <si>
    <t>Total Current Assets</t>
  </si>
  <si>
    <t>Total Assets</t>
  </si>
  <si>
    <t>Check</t>
  </si>
  <si>
    <t>Cash from Operating Activity -</t>
  </si>
  <si>
    <t>Profit from operations</t>
  </si>
  <si>
    <t>Payables</t>
  </si>
  <si>
    <t>Loans Advances</t>
  </si>
  <si>
    <t>Other WC items</t>
  </si>
  <si>
    <t>Working capital changes</t>
  </si>
  <si>
    <t>Direct taxes</t>
  </si>
  <si>
    <t>Cash from Investing Activity -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</si>
  <si>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</si>
  <si>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</si>
  <si>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</si>
  <si>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</si>
  <si>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</si>
  <si>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</si>
  <si>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Investment in group cos</t>
  </si>
  <si>
    <t>Redemp n Canc of Shares</t>
  </si>
  <si>
    <t>Acquisition of companies</t>
  </si>
  <si>
    <t>Inter corporate deposits</t>
  </si>
  <si>
    <t>Other investing items</t>
  </si>
  <si>
    <t>Cash from Financing Activity -</t>
  </si>
  <si>
    <t>Proceeds from shares</t>
  </si>
  <si>
    <t>Redemption of debentures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</si>
  <si>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</si>
  <si>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</si>
  <si>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</si>
  <si>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</si>
  <si>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</si>
  <si>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</si>
  <si>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Cash Flow Statements</t>
  </si>
  <si>
    <t>Cash Flow from Operating Activities</t>
  </si>
  <si>
    <t>Operating Activities</t>
  </si>
  <si>
    <t>Investing Activities</t>
  </si>
  <si>
    <t>Cash Flow from Investing Activties</t>
  </si>
  <si>
    <t>Financing Activities</t>
  </si>
  <si>
    <t>Cash Flow from Financing Activities</t>
  </si>
  <si>
    <t>EBITDA Growth</t>
  </si>
  <si>
    <t>EBIT Growth</t>
  </si>
  <si>
    <t>Net Profit Growth</t>
  </si>
  <si>
    <t>Dividend Growth</t>
  </si>
  <si>
    <t>EBITDA Margin</t>
  </si>
  <si>
    <t>EBIT Margin</t>
  </si>
  <si>
    <t>EBT Margin</t>
  </si>
  <si>
    <t>Net Profit Margin</t>
  </si>
  <si>
    <t>Sales Expenses % Sales</t>
  </si>
  <si>
    <t>Operating Income % Sales</t>
  </si>
  <si>
    <t>Return on Capital Employed</t>
  </si>
  <si>
    <t>Retained Earnings %</t>
  </si>
  <si>
    <t>Return on Equity %</t>
  </si>
  <si>
    <t>Self Sustained Growth Rate</t>
  </si>
  <si>
    <t>Interest Coverage Ratio</t>
  </si>
  <si>
    <t>Debtor Turnover Ratio</t>
  </si>
  <si>
    <t>Creditor Turnover Ratio</t>
  </si>
  <si>
    <t>Inventory Turnover</t>
  </si>
  <si>
    <t>Fixed Asset Turnover</t>
  </si>
  <si>
    <t>Capital Turnover Ratio</t>
  </si>
  <si>
    <t>Debtor Days</t>
  </si>
  <si>
    <t>Payable Days</t>
  </si>
  <si>
    <t>Inventory Days</t>
  </si>
  <si>
    <t>CFO/Sales</t>
  </si>
  <si>
    <t>CFO/Total Assets</t>
  </si>
  <si>
    <t>CFO/Total Debt</t>
  </si>
  <si>
    <t>Cash Conversion Cycle (in days)</t>
  </si>
  <si>
    <t>Mean</t>
  </si>
  <si>
    <t>Median</t>
  </si>
  <si>
    <t>Trend</t>
  </si>
  <si>
    <t>Year Weight</t>
  </si>
  <si>
    <t>Year</t>
  </si>
  <si>
    <t>TATA</t>
  </si>
  <si>
    <t>Adani Enterprise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</si>
  <si>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</si>
  <si>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</si>
  <si>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</si>
  <si>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</si>
  <si>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</si>
  <si>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</si>
  <si>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</si>
  <si>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</si>
  <si>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</si>
  <si>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</si>
  <si>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</si>
  <si>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</si>
  <si>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</si>
  <si>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</si>
  <si>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</si>
  <si>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</si>
  <si>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</si>
  <si>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</si>
  <si>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</si>
  <si>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</si>
  <si>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</si>
  <si>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</si>
  <si>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</si>
  <si>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Weighted Average Cost of Capital</t>
  </si>
  <si>
    <t>All figures are in RM unless stated otherwise.</t>
  </si>
  <si>
    <t>Peer Comps</t>
  </si>
  <si>
    <t>Name of the Comp</t>
  </si>
  <si>
    <t>Country</t>
  </si>
  <si>
    <t>Total Debt</t>
  </si>
  <si>
    <t>Total Equity</t>
  </si>
  <si>
    <t>Tax Rate</t>
  </si>
  <si>
    <t xml:space="preserve">Debt / </t>
  </si>
  <si>
    <t>Equity</t>
  </si>
  <si>
    <t>Debt /</t>
  </si>
  <si>
    <t>Capital</t>
  </si>
  <si>
    <t>Levered</t>
  </si>
  <si>
    <t>Unlevered</t>
  </si>
  <si>
    <r>
      <t xml:space="preserve">Beta </t>
    </r>
    <r>
      <rPr>
        <vertAlign val="superscript"/>
        <sz val="11"/>
        <color theme="1"/>
        <rFont val="ArialNarrow"/>
      </rPr>
      <t>2</t>
    </r>
  </si>
  <si>
    <r>
      <t xml:space="preserve">Beta </t>
    </r>
    <r>
      <rPr>
        <vertAlign val="superscript"/>
        <sz val="11"/>
        <color theme="1"/>
        <rFont val="ArialNarrow"/>
      </rPr>
      <t>3</t>
    </r>
  </si>
  <si>
    <t>Hind. Unilever</t>
  </si>
  <si>
    <t>Nestle India</t>
  </si>
  <si>
    <t>Britannia Inds.</t>
  </si>
  <si>
    <t>Godrej Consumer</t>
  </si>
  <si>
    <t xml:space="preserve"> Dabur India</t>
  </si>
  <si>
    <t>India</t>
  </si>
  <si>
    <t>Average</t>
  </si>
  <si>
    <t>Cost of Debt</t>
  </si>
  <si>
    <t>Pre-Tax Cost of Debt</t>
  </si>
  <si>
    <t>Post Tax Cost of Debt</t>
  </si>
  <si>
    <t>Cost of Equity</t>
  </si>
  <si>
    <t>Risk Free Rate</t>
  </si>
  <si>
    <t>Equity Risk Premium</t>
  </si>
  <si>
    <r>
      <t xml:space="preserve">Levered Beta </t>
    </r>
    <r>
      <rPr>
        <vertAlign val="superscript"/>
        <sz val="11"/>
        <color theme="1"/>
        <rFont val="ArialNarrow"/>
      </rPr>
      <t>4</t>
    </r>
  </si>
  <si>
    <t>Capital Structure</t>
  </si>
  <si>
    <t>Current</t>
  </si>
  <si>
    <t>Target</t>
  </si>
  <si>
    <t>Total Capital</t>
  </si>
  <si>
    <t>Levered Beta</t>
  </si>
  <si>
    <t>Comps Median Unlevered Beta</t>
  </si>
  <si>
    <t>Target Debt / Equity</t>
  </si>
  <si>
    <t>Debt / Equity</t>
  </si>
  <si>
    <t/>
  </si>
  <si>
    <t>Debt</t>
  </si>
  <si>
    <t>Total Weight</t>
  </si>
  <si>
    <t>Total Cost</t>
  </si>
  <si>
    <t>Notes:</t>
  </si>
  <si>
    <t>1. Tax Rate considered as Marginal Tax Rate for the country</t>
  </si>
  <si>
    <t>2. Levered beta is based on 5 year monthly data</t>
  </si>
  <si>
    <t>3. Unlevered Beta = Levered Beta/(1+(1-Tax Rate)*Debt/Equity)</t>
  </si>
  <si>
    <t>3. Levered Beta = Unlevered Beta*(1+(1-Tax Rate)*Debt/Equity)</t>
  </si>
  <si>
    <t>PRACTICE</t>
  </si>
  <si>
    <t>Regression Beta</t>
  </si>
  <si>
    <t>Date</t>
  </si>
  <si>
    <t>Open</t>
  </si>
  <si>
    <t>High</t>
  </si>
  <si>
    <t>Low</t>
  </si>
  <si>
    <t>Close</t>
  </si>
  <si>
    <t>Adj Close</t>
  </si>
  <si>
    <t>Volume</t>
  </si>
  <si>
    <t>Feb 20 , 2023</t>
  </si>
  <si>
    <t>Feb 13 , 2023</t>
  </si>
  <si>
    <t>Feb 6 , 2023</t>
  </si>
  <si>
    <t>Jan 30 , 2023</t>
  </si>
  <si>
    <t>Jan 23 , 2023</t>
  </si>
  <si>
    <t>Jan 16 , 2023</t>
  </si>
  <si>
    <t>Jan 9 , 2023</t>
  </si>
  <si>
    <t>Jan 2 , 2023</t>
  </si>
  <si>
    <t>Dec 26 , 2022</t>
  </si>
  <si>
    <t>Dec 19 , 2022</t>
  </si>
  <si>
    <t>Dec 12 , 2022</t>
  </si>
  <si>
    <t>Dec 5 , 2022</t>
  </si>
  <si>
    <t>Nov 28 , 2022</t>
  </si>
  <si>
    <t>Nov 21 , 2022</t>
  </si>
  <si>
    <t>Nov 14 , 2022</t>
  </si>
  <si>
    <t>Nov 7 , 2022</t>
  </si>
  <si>
    <t>Oct 31 , 2022</t>
  </si>
  <si>
    <t>Oct 24 , 2022</t>
  </si>
  <si>
    <t>Oct 17 , 2022</t>
  </si>
  <si>
    <t>Oct 10 , 2022</t>
  </si>
  <si>
    <t>Oct 3 , 2022</t>
  </si>
  <si>
    <t>Sep 26 , 2022</t>
  </si>
  <si>
    <t>Sep 19 , 2022</t>
  </si>
  <si>
    <t>Sep 12 , 2022</t>
  </si>
  <si>
    <t>Sep 5 , 2022</t>
  </si>
  <si>
    <t>Aug 29 , 2022</t>
  </si>
  <si>
    <t>Aug 22 , 2022</t>
  </si>
  <si>
    <t>Aug 15 , 2022</t>
  </si>
  <si>
    <t>Aug 8 , 2022</t>
  </si>
  <si>
    <t>Aug 1 , 2022</t>
  </si>
  <si>
    <t>Jul 25 , 2022</t>
  </si>
  <si>
    <t>Jul 18 , 2022</t>
  </si>
  <si>
    <t>Jul 11 , 2022</t>
  </si>
  <si>
    <t>Jul 4 , 2022</t>
  </si>
  <si>
    <t>Jun 27 , 2022</t>
  </si>
  <si>
    <t>Jun 20 , 2022</t>
  </si>
  <si>
    <t>Jun 13 , 2022</t>
  </si>
  <si>
    <t>Jun 6 , 2022</t>
  </si>
  <si>
    <t>May 30 , 2022</t>
  </si>
  <si>
    <t>May 23 , 2022</t>
  </si>
  <si>
    <t>May 16 , 2022</t>
  </si>
  <si>
    <t>May 9 , 2022</t>
  </si>
  <si>
    <t>May 2 , 2022</t>
  </si>
  <si>
    <t>Apr 25 , 2022</t>
  </si>
  <si>
    <t>Apr 18 , 2022</t>
  </si>
  <si>
    <t>Apr 11 , 2022</t>
  </si>
  <si>
    <t>Apr 4 , 2022</t>
  </si>
  <si>
    <t>Mar 28 , 2022</t>
  </si>
  <si>
    <t>Mar 21 , 2022</t>
  </si>
  <si>
    <t>Mar 14 , 2022</t>
  </si>
  <si>
    <t>Mar 7 , 2022</t>
  </si>
  <si>
    <t>Feb 28 , 2022</t>
  </si>
  <si>
    <t>Feb 21 , 2022</t>
  </si>
  <si>
    <t>Feb 14 , 2022</t>
  </si>
  <si>
    <t>Feb 7 , 2022</t>
  </si>
  <si>
    <t>Jan 31 , 2022</t>
  </si>
  <si>
    <t>Jan 24 , 2022</t>
  </si>
  <si>
    <t>Jan 17 , 2022</t>
  </si>
  <si>
    <t>Jan 10 , 2022</t>
  </si>
  <si>
    <t>Jan 3 , 2022</t>
  </si>
  <si>
    <t>Dec 27 , 2021</t>
  </si>
  <si>
    <t>Dec 20 , 2021</t>
  </si>
  <si>
    <t>Dec 13 , 2021</t>
  </si>
  <si>
    <t>Dec 6 , 2021</t>
  </si>
  <si>
    <t>Nov 29 , 2021</t>
  </si>
  <si>
    <t>Nov 22 , 2021</t>
  </si>
  <si>
    <t>Nov 15 , 2021</t>
  </si>
  <si>
    <t>Nov 8 , 2021</t>
  </si>
  <si>
    <t>Nov 1 , 2021</t>
  </si>
  <si>
    <t>Oct 25 , 2021</t>
  </si>
  <si>
    <t>Oct 18 , 2021</t>
  </si>
  <si>
    <t>Oct 11 , 2021</t>
  </si>
  <si>
    <t>Oct 4 , 2021</t>
  </si>
  <si>
    <t>Sep 27 , 2021</t>
  </si>
  <si>
    <t>Sep 20 , 2021</t>
  </si>
  <si>
    <t>Sep 13 , 2021</t>
  </si>
  <si>
    <t>Sep 6 , 2021</t>
  </si>
  <si>
    <t>Aug 30 , 2021</t>
  </si>
  <si>
    <t>Aug 23 , 2021</t>
  </si>
  <si>
    <t>Aug 16 , 2021</t>
  </si>
  <si>
    <t>Aug 9 , 2021</t>
  </si>
  <si>
    <t>Aug 2 , 2021</t>
  </si>
  <si>
    <t>Jul 26 , 2021</t>
  </si>
  <si>
    <t>Jul 19 , 2021</t>
  </si>
  <si>
    <t>Mar 15 , 2021</t>
  </si>
  <si>
    <t>Mar 8 , 2021</t>
  </si>
  <si>
    <t>Mar 1 , 2021</t>
  </si>
  <si>
    <t>Feb 22 , 2021</t>
  </si>
  <si>
    <t>Jul 12 , 2021</t>
  </si>
  <si>
    <t>Jul 5 , 2021</t>
  </si>
  <si>
    <t>Jun 28 , 2021</t>
  </si>
  <si>
    <t>Jun 21 , 2021</t>
  </si>
  <si>
    <t>Jun 14 , 2021</t>
  </si>
  <si>
    <t>Jun 7 , 2021</t>
  </si>
  <si>
    <t>May 31 , 2021</t>
  </si>
  <si>
    <t>May 24 , 2021</t>
  </si>
  <si>
    <t>May 17 , 2021</t>
  </si>
  <si>
    <t>May 10 , 2021</t>
  </si>
  <si>
    <t>May 3 , 2021</t>
  </si>
  <si>
    <t>Apr 26 , 2021</t>
  </si>
  <si>
    <t>Apr 19 , 2021</t>
  </si>
  <si>
    <t>Apr 12 , 2021</t>
  </si>
  <si>
    <t>Apr 5 , 2021</t>
  </si>
  <si>
    <t>Mar 29 , 2021</t>
  </si>
  <si>
    <t>Mar 22 , 2021</t>
  </si>
  <si>
    <t>Feb 20, 2023</t>
  </si>
  <si>
    <t>Feb 20 2023</t>
  </si>
  <si>
    <t>Feb 13 2023</t>
  </si>
  <si>
    <t>Feb 6 2023</t>
  </si>
  <si>
    <t>Jan 30 2023</t>
  </si>
  <si>
    <t>Jan 23 2023</t>
  </si>
  <si>
    <t>Jan 16 2023</t>
  </si>
  <si>
    <t>Jan 9 2023</t>
  </si>
  <si>
    <t>Jan 2 2023</t>
  </si>
  <si>
    <t>Dec 26 2022</t>
  </si>
  <si>
    <t>Dec 19 2022</t>
  </si>
  <si>
    <t>Dec 12 2022</t>
  </si>
  <si>
    <t>Dec 5 2022</t>
  </si>
  <si>
    <t>Nov 28 2022</t>
  </si>
  <si>
    <t>Nov 21 2022</t>
  </si>
  <si>
    <t>Nov 14 2022</t>
  </si>
  <si>
    <t>Nov 7 2022</t>
  </si>
  <si>
    <t>Oct 31 2022</t>
  </si>
  <si>
    <t>Oct 24 2022</t>
  </si>
  <si>
    <t>Oct 17 2022</t>
  </si>
  <si>
    <t>Oct 10 2022</t>
  </si>
  <si>
    <t>Oct 3 2022</t>
  </si>
  <si>
    <t>Sep 26 2022</t>
  </si>
  <si>
    <t>Sep 19 2022</t>
  </si>
  <si>
    <t>Sep 12 2022</t>
  </si>
  <si>
    <t>Sep 5 2022</t>
  </si>
  <si>
    <t>Aug 29 2022</t>
  </si>
  <si>
    <t>Aug 22 2022</t>
  </si>
  <si>
    <t>Aug 15 2022</t>
  </si>
  <si>
    <t>Aug 8 2022</t>
  </si>
  <si>
    <t>Aug 1 2022</t>
  </si>
  <si>
    <t>Jul 25 2022</t>
  </si>
  <si>
    <t>Jul 18 2022</t>
  </si>
  <si>
    <t>Jul 11 2022</t>
  </si>
  <si>
    <t>Jul 4 2022</t>
  </si>
  <si>
    <t>Jun 27 2022</t>
  </si>
  <si>
    <t>Jun 20 2022</t>
  </si>
  <si>
    <t>Jun 13 2022</t>
  </si>
  <si>
    <t>Jun 6 2022</t>
  </si>
  <si>
    <t>May 30 2022</t>
  </si>
  <si>
    <t>May 23 2022</t>
  </si>
  <si>
    <t>May 16 2022</t>
  </si>
  <si>
    <t>May 9 2022</t>
  </si>
  <si>
    <t>May 2 2022</t>
  </si>
  <si>
    <t>Apr 25 2022</t>
  </si>
  <si>
    <t>Apr 18 2022</t>
  </si>
  <si>
    <t>Apr 11 2022</t>
  </si>
  <si>
    <t>Apr 4 2022</t>
  </si>
  <si>
    <t>Mar 28 2022</t>
  </si>
  <si>
    <t>Mar 21 2022</t>
  </si>
  <si>
    <t>Mar 14 2022</t>
  </si>
  <si>
    <t>Mar 7 2022</t>
  </si>
  <si>
    <t>Feb 28 2022</t>
  </si>
  <si>
    <t>Feb 21 2022</t>
  </si>
  <si>
    <t>Feb 14 2022</t>
  </si>
  <si>
    <t>Feb 7 2022</t>
  </si>
  <si>
    <t>Jan 31 2022</t>
  </si>
  <si>
    <t>Jan 24 2022</t>
  </si>
  <si>
    <t>Jan 17 2022</t>
  </si>
  <si>
    <t>Jan 10 2022</t>
  </si>
  <si>
    <t>Jan 3 2022</t>
  </si>
  <si>
    <t>Dec 27 2021</t>
  </si>
  <si>
    <t>Dec 20 2021</t>
  </si>
  <si>
    <t>Dec 13 2021</t>
  </si>
  <si>
    <t>Dec 6 2021</t>
  </si>
  <si>
    <t>Nov 29 2021</t>
  </si>
  <si>
    <t>Nov 22 2021</t>
  </si>
  <si>
    <t>Nov 15 2021</t>
  </si>
  <si>
    <t>Nov 8 2021</t>
  </si>
  <si>
    <t>Nov 1 2021</t>
  </si>
  <si>
    <t>Oct 25 2021</t>
  </si>
  <si>
    <t>Oct 18 2021</t>
  </si>
  <si>
    <t>Oct 11 2021</t>
  </si>
  <si>
    <t>Oct 4 2021</t>
  </si>
  <si>
    <t>Sep 27 2021</t>
  </si>
  <si>
    <t>Sep 20 2021</t>
  </si>
  <si>
    <t>Sep 13 2021</t>
  </si>
  <si>
    <t>Sep 6 2021</t>
  </si>
  <si>
    <t>Aug 30 2021</t>
  </si>
  <si>
    <t>Aug 23 2021</t>
  </si>
  <si>
    <t>Aug 16 2021</t>
  </si>
  <si>
    <t>Aug 9 2021</t>
  </si>
  <si>
    <t>Aug 2 2021</t>
  </si>
  <si>
    <t>Jul 26 2021</t>
  </si>
  <si>
    <t>Jul 19 2021</t>
  </si>
  <si>
    <t>Mar 15 2021</t>
  </si>
  <si>
    <t>Mar 8 2021</t>
  </si>
  <si>
    <t>Mar 1 2021</t>
  </si>
  <si>
    <t>Feb 22 2021</t>
  </si>
  <si>
    <t>Jul 12 2021</t>
  </si>
  <si>
    <t>Jul 5 2021</t>
  </si>
  <si>
    <t>Jun 28 2021</t>
  </si>
  <si>
    <t>Jun 21 2021</t>
  </si>
  <si>
    <t>Jun 14 2021</t>
  </si>
  <si>
    <t>Jun 7 2021</t>
  </si>
  <si>
    <t>May 31 2021</t>
  </si>
  <si>
    <t>May 24 2021</t>
  </si>
  <si>
    <t>May 17 2021</t>
  </si>
  <si>
    <t>May 10 2021</t>
  </si>
  <si>
    <t>May 3 2021</t>
  </si>
  <si>
    <t>Apr 26 2021</t>
  </si>
  <si>
    <t>Apr 19 2021</t>
  </si>
  <si>
    <t>Apr 12 2021</t>
  </si>
  <si>
    <t>Apr 5 2021</t>
  </si>
  <si>
    <t>Mar 29 2021</t>
  </si>
  <si>
    <t>Mar 22 2021</t>
  </si>
  <si>
    <t>2/20/2023</t>
  </si>
  <si>
    <t>2/13/2023</t>
  </si>
  <si>
    <t>1/30/2023</t>
  </si>
  <si>
    <t>1/23/2023</t>
  </si>
  <si>
    <t>1/16/2023</t>
  </si>
  <si>
    <t>12/26/2022</t>
  </si>
  <si>
    <t>12/19/2022</t>
  </si>
  <si>
    <t>11/28/2022</t>
  </si>
  <si>
    <t>11/21/2022</t>
  </si>
  <si>
    <t>11/14/2022</t>
  </si>
  <si>
    <t>10/31/2022</t>
  </si>
  <si>
    <t>10/24/2022</t>
  </si>
  <si>
    <t>10/17/2022</t>
  </si>
  <si>
    <t>9/26/2022</t>
  </si>
  <si>
    <t>9/19/2022</t>
  </si>
  <si>
    <t>8/29/2022</t>
  </si>
  <si>
    <t>8/22/2022</t>
  </si>
  <si>
    <t>8/15/2022</t>
  </si>
  <si>
    <t>7/25/2022</t>
  </si>
  <si>
    <t>7/18/2022</t>
  </si>
  <si>
    <t>6/27/2022</t>
  </si>
  <si>
    <t>6/20/2022</t>
  </si>
  <si>
    <t>6/13/2022</t>
  </si>
  <si>
    <t>5/30/2022</t>
  </si>
  <si>
    <t>5/23/2022</t>
  </si>
  <si>
    <t>5/16/2022</t>
  </si>
  <si>
    <t>4/25/2022</t>
  </si>
  <si>
    <t>4/18/2022</t>
  </si>
  <si>
    <t>3/28/2022</t>
  </si>
  <si>
    <t>3/21/2022</t>
  </si>
  <si>
    <t>3/14/2022</t>
  </si>
  <si>
    <t>2/28/2022</t>
  </si>
  <si>
    <t>2/21/2022</t>
  </si>
  <si>
    <t>2/14/2022</t>
  </si>
  <si>
    <t>1/31/2022</t>
  </si>
  <si>
    <t>1/24/2022</t>
  </si>
  <si>
    <t>1/17/2022</t>
  </si>
  <si>
    <t>12/27/2021</t>
  </si>
  <si>
    <t>12/20/2021</t>
  </si>
  <si>
    <t>12/13/2021</t>
  </si>
  <si>
    <t>11/29/2021</t>
  </si>
  <si>
    <t>11/22/2021</t>
  </si>
  <si>
    <t>11/15/2021</t>
  </si>
  <si>
    <t>10/25/2021</t>
  </si>
  <si>
    <t>10/18/2021</t>
  </si>
  <si>
    <t>9/27/2021</t>
  </si>
  <si>
    <t>9/20/2021</t>
  </si>
  <si>
    <t>9/13/2021</t>
  </si>
  <si>
    <t>8/30/2021</t>
  </si>
  <si>
    <t>8/23/2021</t>
  </si>
  <si>
    <t>8/16/2021</t>
  </si>
  <si>
    <t>7/26/2021</t>
  </si>
  <si>
    <t>7/19/2021</t>
  </si>
  <si>
    <t>3/15/2021</t>
  </si>
  <si>
    <t>2/22/2021</t>
  </si>
  <si>
    <t>6/28/2021</t>
  </si>
  <si>
    <t>6/21/2021</t>
  </si>
  <si>
    <t>6/14/2021</t>
  </si>
  <si>
    <t>5/31/2021</t>
  </si>
  <si>
    <t>5/24/2021</t>
  </si>
  <si>
    <t>5/17/2021</t>
  </si>
  <si>
    <t>4/26/2021</t>
  </si>
  <si>
    <t>4/19/2021</t>
  </si>
  <si>
    <t>3/29/2021</t>
  </si>
  <si>
    <t>3/22/2021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</si>
</sst>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(* #,##0.00_);_(* \(#,##0.00\);_(* &quot;-&quot;??_);_(@_)"/>
    <numFmt numFmtId="164" formatCode="_ * #,##0.00_ ;_ * \-#,##0.00_ ;_ * &quot;-&quot;??_ ;_ @_ "/>
    <numFmt numFmtId="165" formatCode="[$-409]mmm\-yy;@"/>
    <numFmt numFmtId="166" formatCode="&quot;RM&quot;#,##0.0;\(&quot;RM&quot;#,##0.0\);\ \-"/>
    <numFmt numFmtId="167" formatCode="0.00&quot;x&quot;"/>
    <numFmt numFmtId="168" formatCode="0&quot; days&quot;"/>
    <numFmt numFmtId="169" formatCode="#,##0.0"/>
    <numFmt numFmtId="170" formatCode="0&quot;A&quot;"/>
    <numFmt numFmtId="171" formatCode="0&quot;E&quot;"/>
    <numFmt numFmtId="172" formatCode="yyyy"/>
    <numFmt numFmtId="173" formatCode="yyyy&quot;A&quot;"/>
    <numFmt numFmtId="174" formatCode="yyyy&quot;E&quot;"/>
    <numFmt numFmtId="175" formatCode="0.0"/>
  </numFmts>
  <fonts count="20">
    <font>
      <sz val="11"/>
      <color theme="1"/>
      <name val="ArialNarrow"/>
      <family val="2"/>
    </font>
    <font>
      <sz val="11"/>
      <color theme="1"/>
      <name val="ArialNarrow"/>
      <family val="2"/>
    </font>
    <font>
      <sz val="11"/>
      <color theme="0"/>
      <name val="ArialNarrow"/>
      <family val="2"/>
    </font>
    <font>
      <u/>
      <sz val="11"/>
      <color theme="10"/>
      <name val="ArialNarrow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0" tint="-4.9989318521683403E-2"/>
      <name val="ArialNarrow"/>
    </font>
    <font>
      <b/>
      <sz val="11"/>
      <color theme="1"/>
      <name val="ArialNarrow"/>
    </font>
    <font>
      <sz val="11"/>
      <color theme="0" tint="-0.34998626667073579"/>
      <name val="ArialNarrow"/>
      <family val="2"/>
    </font>
    <font>
      <sz val="11"/>
      <color theme="1"/>
      <name val="ArialNarrow"/>
    </font>
    <font>
      <sz val="11"/>
      <color theme="1"/>
      <name val="Arial Narrow"/>
      <family val="2"/>
    </font>
    <font>
      <sz val="11"/>
      <color rgb="FF7030A0"/>
      <name val="Arial Narrow"/>
      <family val="2"/>
    </font>
    <font>
      <sz val="11"/>
      <color theme="0"/>
      <name val="Arial Narrow"/>
      <family val="2"/>
    </font>
    <font>
      <b/>
      <sz val="11"/>
      <color theme="1"/>
      <name val="Arial Narrow"/>
      <family val="2"/>
    </font>
    <font>
      <i/>
      <sz val="11"/>
      <color theme="1"/>
      <name val="ArialNarrow"/>
      <family val="2"/>
    </font>
    <font>
      <vertAlign val="superscript"/>
      <sz val="11"/>
      <color theme="1"/>
      <name val="ArialNarrow"/>
    </font>
    <font>
      <sz val="11"/>
      <color rgb="FF7030A0"/>
      <name val="ArialNarrow"/>
      <family val="2"/>
    </font>
    <font>
      <b/>
      <sz val="11"/>
      <color theme="0"/>
      <name val="ArialNarrow"/>
    </font>
  </fonts>
  <fills count="11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 style="hair">
        <color rgb="FF002060"/>
      </top>
      <bottom style="hair">
        <color rgb="FF002060"/>
      </bottom>
      <diagonal/>
    </border>
    <border>
      <left/>
      <right/>
      <top style="hair">
        <color rgb="FF002060"/>
      </top>
      <bottom/>
      <diagonal/>
    </border>
    <border>
      <left/>
      <right/>
      <top/>
      <bottom style="hair">
        <color rgb="FF00206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/>
      <right/>
      <top/>
      <bottom style="dashed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103">
    <xf numFmtId="0" fontId="0" fillId="0" borderId="0" xfId="0"/>
    <xf numFmtId="43" fontId="5" fillId="0" borderId="0" xfId="1" applyFont="1" applyBorder="1"/>
    <xf numFmtId="43" fontId="0" fillId="0" borderId="0" xfId="1" applyFont="1" applyBorder="1"/>
    <xf numFmtId="165" fontId="6" fillId="3" borderId="0" xfId="1" applyNumberFormat="1" applyFont="1" applyFill="1" applyBorder="1"/>
    <xf numFmtId="165" fontId="6" fillId="3" borderId="0" xfId="0" applyNumberFormat="1" applyFont="1" applyFill="1" applyAlignment="1">
      <alignment horizontal="center"/>
    </xf>
    <xf numFmtId="165" fontId="7" fillId="0" borderId="0" xfId="1" applyNumberFormat="1" applyFont="1" applyFill="1" applyBorder="1"/>
    <xf numFmtId="43" fontId="4" fillId="0" borderId="0" xfId="1" applyFont="1" applyBorder="1"/>
    <xf numFmtId="0" fontId="8" fillId="4" borderId="0" xfId="0" applyFont="1" applyFill="1"/>
    <xf numFmtId="165" fontId="8" fillId="4" borderId="0" xfId="0" applyNumberFormat="1" applyFont="1" applyFill="1"/>
    <xf numFmtId="0" fontId="8" fillId="4" borderId="0" xfId="0" applyFont="1" applyFill="1" applyAlignment="1">
      <alignment horizontal="right"/>
    </xf>
    <xf numFmtId="0" fontId="9" fillId="0" borderId="0" xfId="0" applyFont="1"/>
    <xf numFmtId="0" fontId="10" fillId="0" borderId="0" xfId="0" applyFont="1"/>
    <xf numFmtId="10" fontId="10" fillId="0" borderId="0" xfId="0" applyNumberFormat="1" applyFont="1"/>
    <xf numFmtId="166" fontId="0" fillId="0" borderId="0" xfId="0" applyNumberFormat="1"/>
    <xf numFmtId="10" fontId="0" fillId="0" borderId="0" xfId="4" applyNumberFormat="1" applyFont="1"/>
    <xf numFmtId="0" fontId="0" fillId="5" borderId="0" xfId="0" applyFill="1"/>
    <xf numFmtId="0" fontId="9" fillId="5" borderId="0" xfId="0" applyFont="1" applyFill="1"/>
    <xf numFmtId="166" fontId="9" fillId="0" borderId="0" xfId="0" applyNumberFormat="1" applyFont="1"/>
    <xf numFmtId="0" fontId="11" fillId="0" borderId="0" xfId="0" applyFont="1"/>
    <xf numFmtId="17" fontId="0" fillId="0" borderId="0" xfId="0" applyNumberFormat="1"/>
    <xf numFmtId="3" fontId="0" fillId="0" borderId="0" xfId="0" applyNumberFormat="1"/>
    <xf numFmtId="0" fontId="9" fillId="0" borderId="1" xfId="0" applyFont="1" applyBorder="1"/>
    <xf numFmtId="166" fontId="9" fillId="0" borderId="1" xfId="0" applyNumberFormat="1" applyFont="1" applyBorder="1"/>
    <xf numFmtId="10" fontId="0" fillId="0" borderId="0" xfId="0" applyNumberFormat="1"/>
    <xf numFmtId="0" fontId="0" fillId="0" borderId="2" xfId="0" applyBorder="1"/>
    <xf numFmtId="10" fontId="0" fillId="0" borderId="2" xfId="4" applyNumberFormat="1" applyFont="1" applyBorder="1"/>
    <xf numFmtId="10" fontId="0" fillId="0" borderId="0" xfId="4" applyNumberFormat="1" applyFont="1" applyBorder="1"/>
    <xf numFmtId="0" fontId="0" fillId="0" borderId="3" xfId="0" applyBorder="1"/>
    <xf numFmtId="10" fontId="0" fillId="0" borderId="3" xfId="4" applyNumberFormat="1" applyFont="1" applyBorder="1"/>
    <xf numFmtId="10" fontId="0" fillId="0" borderId="2" xfId="0" applyNumberFormat="1" applyBorder="1"/>
    <xf numFmtId="10" fontId="0" fillId="0" borderId="3" xfId="0" applyNumberFormat="1" applyBorder="1"/>
    <xf numFmtId="167" fontId="0" fillId="0" borderId="3" xfId="0" applyNumberFormat="1" applyBorder="1"/>
    <xf numFmtId="167" fontId="0" fillId="0" borderId="2" xfId="0" applyNumberFormat="1" applyBorder="1"/>
    <xf numFmtId="167" fontId="0" fillId="0" borderId="0" xfId="0" applyNumberFormat="1"/>
    <xf numFmtId="168" fontId="0" fillId="0" borderId="2" xfId="0" applyNumberFormat="1" applyBorder="1"/>
    <xf numFmtId="168" fontId="0" fillId="0" borderId="0" xfId="0" applyNumberFormat="1"/>
    <xf numFmtId="168" fontId="0" fillId="0" borderId="3" xfId="0" applyNumberFormat="1" applyBorder="1"/>
    <xf numFmtId="165" fontId="8" fillId="4" borderId="0" xfId="0" applyNumberFormat="1" applyFont="1" applyFill="1" applyAlignment="1">
      <alignment horizontal="center"/>
    </xf>
    <xf numFmtId="0" fontId="12" fillId="0" borderId="0" xfId="0" applyFont="1"/>
    <xf numFmtId="0" fontId="2" fillId="6" borderId="0" xfId="0" applyFont="1" applyFill="1" applyAlignment="1">
      <alignment horizontal="center"/>
    </xf>
    <xf numFmtId="0" fontId="0" fillId="0" borderId="0" xfId="0" applyAlignment="1">
      <alignment horizontal="left"/>
    </xf>
    <xf numFmtId="169" fontId="13" fillId="0" borderId="0" xfId="0" applyNumberFormat="1" applyFont="1" applyAlignment="1">
      <alignment horizontal="right"/>
    </xf>
    <xf numFmtId="0" fontId="14" fillId="6" borderId="0" xfId="0" applyFont="1" applyFill="1" applyAlignment="1">
      <alignment horizontal="center"/>
    </xf>
    <xf numFmtId="0" fontId="12" fillId="0" borderId="0" xfId="0" applyFont="1" applyAlignment="1">
      <alignment horizontal="left"/>
    </xf>
    <xf numFmtId="10" fontId="12" fillId="0" borderId="0" xfId="0" applyNumberFormat="1" applyFont="1"/>
    <xf numFmtId="170" fontId="0" fillId="0" borderId="0" xfId="0" applyNumberFormat="1" applyAlignment="1">
      <alignment horizontal="left"/>
    </xf>
    <xf numFmtId="171" fontId="0" fillId="0" borderId="0" xfId="0" applyNumberFormat="1" applyAlignment="1">
      <alignment horizontal="left"/>
    </xf>
    <xf numFmtId="0" fontId="0" fillId="0" borderId="4" xfId="0" applyBorder="1"/>
    <xf numFmtId="0" fontId="16" fillId="0" borderId="5" xfId="0" applyFont="1" applyBorder="1" applyAlignment="1">
      <alignment horizontal="center"/>
    </xf>
    <xf numFmtId="0" fontId="16" fillId="0" borderId="5" xfId="0" applyFont="1" applyBorder="1" applyAlignment="1">
      <alignment horizontal="centerContinuous"/>
    </xf>
    <xf numFmtId="169" fontId="12" fillId="0" borderId="0" xfId="0" applyNumberFormat="1" applyFont="1" applyAlignment="1">
      <alignment horizontal="right"/>
    </xf>
    <xf numFmtId="170" fontId="12" fillId="0" borderId="0" xfId="0" applyNumberFormat="1" applyFont="1" applyAlignment="1">
      <alignment horizontal="left"/>
    </xf>
    <xf numFmtId="171" fontId="12" fillId="0" borderId="0" xfId="0" applyNumberFormat="1" applyFont="1" applyAlignment="1">
      <alignment horizontal="left"/>
    </xf>
    <xf numFmtId="172" fontId="0" fillId="0" borderId="0" xfId="0" applyNumberFormat="1" applyAlignment="1">
      <alignment horizontal="left"/>
    </xf>
    <xf numFmtId="173" fontId="0" fillId="0" borderId="0" xfId="0" applyNumberFormat="1" applyAlignment="1">
      <alignment horizontal="left"/>
    </xf>
    <xf numFmtId="169" fontId="0" fillId="0" borderId="0" xfId="0" applyNumberFormat="1"/>
    <xf numFmtId="10" fontId="0" fillId="7" borderId="0" xfId="0" applyNumberFormat="1" applyFill="1"/>
    <xf numFmtId="0" fontId="0" fillId="8" borderId="0" xfId="0" applyFill="1" applyAlignment="1">
      <alignment horizontal="left"/>
    </xf>
    <xf numFmtId="174" fontId="0" fillId="8" borderId="0" xfId="0" applyNumberFormat="1" applyFill="1" applyAlignment="1">
      <alignment horizontal="left"/>
    </xf>
    <xf numFmtId="169" fontId="0" fillId="8" borderId="0" xfId="0" applyNumberFormat="1" applyFill="1"/>
    <xf numFmtId="10" fontId="0" fillId="8" borderId="0" xfId="0" applyNumberFormat="1" applyFill="1"/>
    <xf numFmtId="0" fontId="9" fillId="9" borderId="0" xfId="0" applyFont="1" applyFill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vertical="top"/>
    </xf>
    <xf numFmtId="0" fontId="18" fillId="0" borderId="0" xfId="0" applyFont="1"/>
    <xf numFmtId="2" fontId="0" fillId="0" borderId="0" xfId="0" applyNumberFormat="1"/>
    <xf numFmtId="10" fontId="18" fillId="0" borderId="0" xfId="4" applyNumberFormat="1" applyFont="1"/>
    <xf numFmtId="0" fontId="9" fillId="0" borderId="6" xfId="0" applyFont="1" applyBorder="1"/>
    <xf numFmtId="0" fontId="9" fillId="0" borderId="7" xfId="0" applyFont="1" applyBorder="1"/>
    <xf numFmtId="10" fontId="0" fillId="0" borderId="6" xfId="0" applyNumberFormat="1" applyBorder="1"/>
    <xf numFmtId="10" fontId="0" fillId="0" borderId="7" xfId="0" applyNumberFormat="1" applyBorder="1"/>
    <xf numFmtId="2" fontId="0" fillId="0" borderId="6" xfId="0" applyNumberFormat="1" applyBorder="1"/>
    <xf numFmtId="2" fontId="0" fillId="0" borderId="7" xfId="0" applyNumberFormat="1" applyBorder="1"/>
    <xf numFmtId="10" fontId="0" fillId="0" borderId="6" xfId="4" applyNumberFormat="1" applyFont="1" applyBorder="1"/>
    <xf numFmtId="10" fontId="0" fillId="0" borderId="7" xfId="4" applyNumberFormat="1" applyFont="1" applyBorder="1"/>
    <xf numFmtId="9" fontId="0" fillId="0" borderId="0" xfId="0" applyNumberFormat="1"/>
    <xf numFmtId="0" fontId="0" fillId="0" borderId="8" xfId="0" applyBorder="1"/>
    <xf numFmtId="10" fontId="0" fillId="0" borderId="8" xfId="0" applyNumberFormat="1" applyBorder="1"/>
    <xf numFmtId="10" fontId="0" fillId="7" borderId="8" xfId="0" applyNumberFormat="1" applyFill="1" applyBorder="1"/>
    <xf numFmtId="0" fontId="9" fillId="0" borderId="9" xfId="0" applyFont="1" applyBorder="1" applyAlignment="1">
      <alignment horizontal="center"/>
    </xf>
    <xf numFmtId="10" fontId="0" fillId="0" borderId="8" xfId="4" applyNumberFormat="1" applyFont="1" applyBorder="1"/>
    <xf numFmtId="10" fontId="18" fillId="0" borderId="0" xfId="0" applyNumberFormat="1" applyFont="1"/>
    <xf numFmtId="0" fontId="0" fillId="0" borderId="0" xfId="0" quotePrefix="1"/>
    <xf numFmtId="2" fontId="0" fillId="7" borderId="8" xfId="0" applyNumberFormat="1" applyFill="1" applyBorder="1"/>
    <xf numFmtId="10" fontId="0" fillId="7" borderId="8" xfId="4" applyNumberFormat="1" applyFont="1" applyFill="1" applyBorder="1"/>
    <xf numFmtId="10" fontId="0" fillId="7" borderId="0" xfId="4" applyNumberFormat="1" applyFont="1" applyFill="1"/>
    <xf numFmtId="175" fontId="18" fillId="0" borderId="0" xfId="0" applyNumberFormat="1" applyFont="1"/>
    <xf numFmtId="2" fontId="18" fillId="0" borderId="0" xfId="0" applyNumberFormat="1" applyFont="1"/>
    <xf numFmtId="2" fontId="0" fillId="7" borderId="0" xfId="0" applyNumberFormat="1" applyFill="1"/>
    <xf numFmtId="175" fontId="0" fillId="0" borderId="8" xfId="0" applyNumberFormat="1" applyBorder="1"/>
    <xf numFmtId="0" fontId="0" fillId="10" borderId="0" xfId="0" applyFill="1"/>
    <xf numFmtId="0" fontId="19" fillId="10" borderId="0" xfId="0" applyFont="1" applyFill="1" applyAlignment="1">
      <alignment horizontal="right"/>
    </xf>
    <xf numFmtId="4" fontId="0" fillId="0" borderId="0" xfId="0" applyNumberFormat="1"/>
    <xf numFmtId="15" fontId="0" fillId="0" borderId="0" xfId="0" applyNumberFormat="1"/>
    <xf numFmtId="14" fontId="0" fillId="0" borderId="7" xfId="0" applyNumberFormat="1" applyBorder="1"/>
    <xf numFmtId="14" fontId="0" fillId="0" borderId="0" xfId="0" applyNumberFormat="1" applyAlignment="1">
      <alignment vertical="top"/>
    </xf>
    <xf numFmtId="0" fontId="8" fillId="4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5" fillId="0" borderId="0" xfId="0" applyFont="1" applyAlignment="1">
      <alignment horizontal="center"/>
    </xf>
    <xf numFmtId="164" fontId="3" fillId="0" borderId="0" xfId="3" applyNumberFormat="1" applyBorder="1" applyAlignment="1" applyProtection="1">
      <alignment horizontal="center"/>
    </xf>
    <xf numFmtId="164" fontId="6" fillId="2" borderId="0" xfId="2" applyNumberFormat="1" applyFont="1" applyBorder="1" applyAlignment="1">
      <alignment horizontal="center"/>
    </xf>
  </cellXfs>
  <cellStyles count="5">
    <cellStyle name="Accent6" xfId="2" builtinId="49"/>
    <cellStyle name="Comma" xfId="1" builtinId="3"/>
    <cellStyle name="Hyperlink" xfId="3" builtinId="8"/>
    <cellStyle name="Normal" xfId="0" builtinId="0"/>
    <cellStyle name="Per cent" xfId="4" builtinId="5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21" Type="http://schemas.microsoft.com/office/2017/06/relationships/rdSupportingPropertyBagStructure" Target="richData/rdsupportingpropertybagstructur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06/relationships/rdRichValue" Target="richData/rdrichvalue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microsoft.com/office/2017/06/relationships/richStyles" Target="richData/rich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23" Type="http://schemas.microsoft.com/office/2017/06/relationships/rdRichValueTypes" Target="richData/rdRichValueTypes.xml"/><Relationship Id="rId10" Type="http://schemas.openxmlformats.org/officeDocument/2006/relationships/worksheet" Target="worksheets/sheet10.xml"/><Relationship Id="rId19" Type="http://schemas.microsoft.com/office/2017/06/relationships/rdArray" Target="richData/rdarray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Relationship Id="rId22" Type="http://schemas.microsoft.com/office/2017/06/relationships/rdSupportingPropertyBag" Target="richData/rdsupportingpropertybag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Sales</a:t>
            </a:r>
            <a:r>
              <a:rPr lang="en-GB" baseline="0"/>
              <a:t> Regression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TATA!$C$3:$C$14</c:f>
              <c:numCache>
                <c:formatCode>0"A"</c:formatCode>
                <c:ptCount val="12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</c:numCache>
            </c:numRef>
          </c:xVal>
          <c:yVal>
            <c:numRef>
              <c:f>TATA!$D$3:$D$14</c:f>
              <c:numCache>
                <c:formatCode>#,##0.0</c:formatCode>
                <c:ptCount val="12"/>
                <c:pt idx="0">
                  <c:v>188793</c:v>
                </c:pt>
                <c:pt idx="1">
                  <c:v>232834</c:v>
                </c:pt>
                <c:pt idx="2">
                  <c:v>263159</c:v>
                </c:pt>
                <c:pt idx="3">
                  <c:v>273046</c:v>
                </c:pt>
                <c:pt idx="4">
                  <c:v>269693</c:v>
                </c:pt>
                <c:pt idx="5">
                  <c:v>291550</c:v>
                </c:pt>
                <c:pt idx="6">
                  <c:v>301938</c:v>
                </c:pt>
                <c:pt idx="7">
                  <c:v>261068</c:v>
                </c:pt>
                <c:pt idx="8">
                  <c:v>249795</c:v>
                </c:pt>
                <c:pt idx="9">
                  <c:v>278454</c:v>
                </c:pt>
                <c:pt idx="10">
                  <c:v>345967</c:v>
                </c:pt>
                <c:pt idx="11">
                  <c:v>437928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02-C546-A423-72675888D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565536"/>
        <c:axId val="2082372880"/>
      </c:scatterChart>
      <c:valAx>
        <c:axId val="53456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&quot;A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2372880"/>
        <c:crosses val="autoZero"/>
        <c:crossBetween val="midCat"/>
      </c:valAx>
      <c:valAx>
        <c:axId val="208237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565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268216</xdr:colOff>
      <xdr:row>1</xdr:row>
      <xdr:rowOff>45302</xdr:rowOff>
    </xdr:from>
    <xdr:to>
      <xdr:col>14</xdr:col>
      <xdr:colOff>758208</xdr:colOff>
      <xdr:row>19</xdr:row>
      <xdr:rowOff>113731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C9615D-AC5F-0102-4484-3EDCA6B434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5">
  <a r="1" c="105">
    <v t="i">1</v>
    <v t="i">8</v>
    <v t="i">15</v>
    <v t="i">22</v>
    <v t="i">29</v>
    <v t="i">36</v>
    <v t="i">43</v>
    <v t="i">50</v>
    <v t="i">57</v>
    <v t="i">64</v>
    <v t="i">71</v>
    <v t="i">78</v>
    <v t="i">85</v>
    <v t="i">92</v>
    <v t="i">100</v>
    <v t="i">106</v>
    <v t="i">113</v>
    <v t="i">120</v>
    <v t="i">127</v>
    <v t="i">135</v>
    <v t="i">141</v>
    <v t="i">148</v>
    <v t="i">155</v>
    <v t="i">162</v>
    <v t="i">169</v>
    <v t="i">176</v>
    <v t="i">183</v>
    <v t="i">190</v>
    <v t="i">198</v>
    <v t="i">204</v>
    <v t="i">211</v>
    <v t="i">218</v>
    <v t="i">225</v>
    <v t="i">232</v>
    <v t="i">239</v>
    <v t="i">246</v>
    <v t="i">253</v>
    <v t="i">260</v>
    <v t="i">267</v>
    <v t="i">274</v>
    <v t="i">281</v>
    <v t="i">288</v>
    <v t="i">295</v>
    <v t="i">302</v>
    <v t="i">309</v>
    <v t="i">316</v>
    <v t="i">323</v>
    <v t="i">331</v>
    <v t="i">337</v>
    <v t="i">344</v>
    <v t="i">351</v>
    <v t="i">358</v>
    <v t="i">366</v>
    <v t="i">372</v>
    <v t="i">379</v>
    <v t="i">386</v>
    <v t="i">393</v>
    <v t="i">400</v>
    <v t="i">407</v>
    <v t="i">414</v>
    <v t="i">421</v>
    <v t="i">428</v>
    <v t="i">435</v>
    <v t="i">442</v>
    <v t="i">449</v>
    <v t="i">456</v>
    <v t="i">464</v>
    <v t="i">470</v>
    <v t="i">477</v>
    <v t="i">485</v>
    <v t="i">491</v>
    <v t="i">499</v>
    <v t="i">505</v>
    <v t="i">512</v>
    <v t="i">519</v>
    <v t="i">526</v>
    <v t="i">533</v>
    <v t="i">540</v>
    <v t="i">547</v>
    <v t="i">554</v>
    <v t="i">562</v>
    <v t="i">568</v>
    <v t="i">575</v>
    <v t="i">582</v>
    <v t="i">589</v>
    <v t="i">596</v>
    <v t="i">603</v>
    <v t="i">610</v>
    <v t="i">617</v>
    <v t="i">624</v>
    <v t="i">631</v>
    <v t="i">638</v>
    <v t="i">645</v>
    <v t="i">652</v>
    <v t="i">659</v>
    <v t="i">666</v>
    <v t="i">674</v>
    <v t="i">681</v>
    <v t="i">687</v>
    <v t="i">695</v>
    <v t="i">701</v>
    <v t="i">708</v>
    <v t="i">715</v>
    <v t="i">722</v>
    <v t="i">730</v>
  </a>
  <a r="1" c="105">
    <v>232.38</v>
    <v>231.6</v>
    <v>235.75</v>
    <v>230.35</v>
    <v>236.48</v>
    <v>242.35</v>
    <v>255.85</v>
    <v>260.74</v>
    <v>261.14999999999998</v>
    <v>252.18</v>
    <v>252.46</v>
    <v>248.15</v>
    <v>245.17</v>
    <v>249.68</v>
    <v>250.79</v>
    <v>257.89</v>
    <v>259.43</v>
    <v>265.02</v>
    <v>277.64999999999998</v>
    <v>277.94</v>
    <v>280.75</v>
    <v>289.67</v>
    <v>284.91000000000003</v>
    <v>289.45999999999998</v>
    <v>292.85000000000002</v>
    <v>304.36</v>
    <v>299.72000000000003</v>
    <v>301.14</v>
    <v>295.70999999999998</v>
    <v>299.87</v>
    <v>299.35000000000002</v>
    <v>289.10000000000002</v>
    <v>294.85000000000002</v>
    <v>304.20999999999998</v>
    <v>309.16000000000003</v>
    <v>331.62</v>
    <v>336.06</v>
    <v>336.72</v>
    <v>343.11</v>
    <v>329.68</v>
    <v>323.01</v>
    <v>342.54</v>
    <v>323.8</v>
    <v>334.69</v>
    <v>336.32</v>
    <v>314.04000000000002</v>
    <v>310.2</v>
    <v>296.02999999999997</v>
    <v>308.26</v>
    <v>305.94</v>
    <v>295.04000000000002</v>
    <v>287.93</v>
    <v>297.31</v>
    <v>289.86</v>
    <v>280.07</v>
    <v>300.43</v>
    <v>303.68</v>
    <v>309.42</v>
    <v>296.97000000000003</v>
    <v>279.83</v>
    <v>274.02999999999997</v>
    <v>277.52</v>
    <v>274.73</v>
    <v>261.12</v>
    <v>252.56</v>
    <v>273.24</v>
    <v>270.02</v>
    <v>252.99</v>
    <v>247.65</v>
    <v>267.7</v>
    <v>259.58</v>
    <v>267.66000000000003</v>
    <v>256.72000000000003</v>
    <v>260.36</v>
    <v>280.74</v>
    <v>282.91000000000003</v>
    <v>291.91000000000003</v>
    <v>286.14999999999998</v>
    <v>268.08999999999997</v>
    <v>256.06</v>
    <v>264.45999999999998</v>
    <v>244.74</v>
    <v>237.92</v>
    <v>232.9</v>
    <v>234.24</v>
    <v>228.56</v>
    <v>242.12</v>
    <v>235.87</v>
    <v>221.39</v>
    <v>247.11</v>
    <v>241.22</v>
    <v>247.49</v>
    <v>255.02</v>
    <v>245.42</v>
    <v>244.69</v>
    <v>238.73</v>
    <v>239.82</v>
    <v>224.93</v>
    <v>239.23</v>
    <v>240.22</v>
    <v>248.16</v>
    <v>258.35000000000002</v>
    <v>263.10000000000002</v>
    <v>258.06</v>
    <v>249.22</v>
  </a>
  <a r="1" c="105">
    <v>237.42</v>
    <v>235.9</v>
    <v>231.37</v>
    <v>234.96</v>
    <v>230.27</v>
    <v>236.59</v>
    <v>242.76</v>
    <v>254.71</v>
    <v>260.19</v>
    <v>261.66000000000003</v>
    <v>253.4</v>
    <v>250.87</v>
    <v>246.55</v>
    <v>247.785</v>
    <v>251.23</v>
    <v>249.98</v>
    <v>257.89999999999998</v>
    <v>259.82</v>
    <v>266.185</v>
    <v>278.02999999999997</v>
    <v>279.15699999999998</v>
    <v>278.93349999999998</v>
    <v>289</v>
    <v>286.36</v>
    <v>289.75</v>
    <v>293.19</v>
    <v>303.245</v>
    <v>301.11500000000001</v>
    <v>301.005</v>
    <v>297.55</v>
    <v>296.33</v>
    <v>296.14</v>
    <v>287.39999999999998</v>
    <v>292.92</v>
    <v>303.57</v>
    <v>309.36</v>
    <v>331.35500000000002</v>
    <v>337.3</v>
    <v>337.54</v>
    <v>344.62</v>
    <v>334.94</v>
    <v>323.95</v>
    <v>340.68</v>
    <v>320.05</v>
    <v>335.46</v>
    <v>335.35</v>
    <v>309.48500000000001</v>
    <v>304.07</v>
    <v>292.2</v>
    <v>308.95</v>
    <v>306.17</v>
    <v>293.77</v>
    <v>285</v>
    <v>294.31</v>
    <v>288.52999999999997</v>
    <v>280.33999999999997</v>
    <v>298.89</v>
    <v>304.33</v>
    <v>310.08999999999997</v>
    <v>291.79000000000002</v>
    <v>278.91000000000003</v>
    <v>273.29000000000002</v>
    <v>277.70999999999998</v>
    <v>270.06</v>
    <v>259.95499999999998</v>
    <v>255.49</v>
    <v>272.52999999999997</v>
    <v>272.06</v>
    <v>245.11</v>
    <v>250.255</v>
    <v>268.20499999999998</v>
    <v>256.16000000000003</v>
    <v>265.64999999999998</v>
    <v>259.75</v>
    <v>260.995</v>
    <v>277.82</v>
    <v>284.05</v>
    <v>291</v>
    <v>282.08</v>
    <v>265.85000000000002</v>
    <v>256.2</v>
    <v>265.77999999999997</v>
    <v>242.465</v>
    <v>237.04499999999999</v>
    <v>235.41</v>
    <v>233.05</v>
    <v>235.82</v>
    <v>243.76</v>
    <v>233.76</v>
    <v>221.99</v>
    <v>241.98500000000001</v>
    <v>241.43</v>
    <v>246.08</v>
    <v>252.01</v>
    <v>247.44499999999999</v>
    <v>244.86</v>
    <v>238.7</v>
    <v>243.08</v>
    <v>226.45</v>
    <v>237.97</v>
    <v>241.1</v>
    <v>244.51</v>
    <v>257.44</v>
    <v>267.64</v>
    <v>254.48</v>
  </a>
  <a r="1" c="105">
    <v>237.93</v>
    <v>237.47</v>
    <v>239.17</v>
    <v>240.05500000000001</v>
    <v>241.05</v>
    <v>242.84</v>
    <v>255.99</v>
    <v>261</v>
    <v>261.77999999999997</v>
    <v>263.19</v>
    <v>254.35</v>
    <v>251.73</v>
    <v>248.33</v>
    <v>252.94</v>
    <v>251.65</v>
    <v>258.48680000000002</v>
    <v>262.3</v>
    <v>267.85000000000002</v>
    <v>278</v>
    <v>280.69450000000001</v>
    <v>284.10000000000002</v>
    <v>289.99</v>
    <v>290.14999999999998</v>
    <v>289.63</v>
    <v>292.89999999999998</v>
    <v>305.83999999999997</v>
    <v>305.64999999999998</v>
    <v>305.19</v>
    <v>302.14</v>
    <v>305.32</v>
    <v>300.89999999999998</v>
    <v>296.47000000000003</v>
    <v>296.64089999999999</v>
    <v>304.45</v>
    <v>311.08999999999997</v>
    <v>332</v>
    <v>338.79</v>
    <v>338.72</v>
    <v>345.1</v>
    <v>349.67</v>
    <v>339.28</v>
    <v>343</v>
    <v>343.79</v>
    <v>336.39</v>
    <v>344.3</v>
    <v>338</v>
    <v>323.41000000000003</v>
    <v>313.90929999999997</v>
    <v>308.5</v>
    <v>315.12</v>
    <v>311.93</v>
    <v>300.87</v>
    <v>297.63</v>
    <v>303.13</v>
    <v>289.69</v>
    <v>301</v>
    <v>305.5</v>
    <v>315.95</v>
    <v>315.11</v>
    <v>292.61</v>
    <v>293.3</v>
    <v>290.98</v>
    <v>290.88</v>
    <v>273.75</v>
    <v>268.33</v>
    <v>273.33999999999997</v>
    <v>277.69</v>
    <v>274.18</v>
    <v>255.3</v>
    <v>267.98</v>
    <v>268.3</v>
    <v>269.05500000000001</v>
    <v>266.52999999999997</v>
    <v>265.33</v>
    <v>282</v>
    <v>283.8</v>
    <v>291.91000000000003</v>
    <v>294.18</v>
    <v>282.45999999999998</v>
    <v>267.39999999999998</v>
    <v>265.23</v>
    <v>267.45</v>
    <v>247.66</v>
    <v>242.33</v>
    <v>250.58</v>
    <v>237.24</v>
    <v>243.93</v>
    <v>251.04</v>
    <v>235.74</v>
    <v>247.99</v>
    <v>247</v>
    <v>248.7</v>
    <v>256.12</v>
    <v>253.81899999999999</v>
    <v>263.91500000000002</v>
    <v>245.61500000000001</v>
    <v>241.92</v>
    <v>245.75</v>
    <v>239.9</v>
    <v>242.38</v>
    <v>249.83</v>
    <v>264.69</v>
    <v>276.76</v>
    <v>274.97000000000003</v>
    <v>256.83999999999997</v>
  </a>
  <a r="1" c="105">
    <v>227.88</v>
    <v>224.26</v>
    <v>227.13</v>
    <v>229.34960000000001</v>
    <v>230.14</v>
    <v>231.1</v>
    <v>242.7</v>
    <v>254.62</v>
    <v>255.64</v>
    <v>249</v>
    <v>244.69</v>
    <v>238.07</v>
    <v>238.6</v>
    <v>247.51</v>
    <v>243</v>
    <v>249.81</v>
    <v>254.42</v>
    <v>257.92</v>
    <v>265.91000000000003</v>
    <v>274.3</v>
    <v>276.58</v>
    <v>274.45</v>
    <v>282.95</v>
    <v>283.74</v>
    <v>285.2</v>
    <v>288.64</v>
    <v>296.83</v>
    <v>300.18</v>
    <v>295.38</v>
    <v>294.08</v>
    <v>289.52</v>
    <v>281.29000000000002</v>
    <v>280.25</v>
    <v>292.35000000000002</v>
    <v>302.69</v>
    <v>306.45999999999998</v>
    <v>326.37</v>
    <v>329.92</v>
    <v>334.03399999999999</v>
    <v>328.12</v>
    <v>318.02999999999997</v>
    <v>319.23</v>
    <v>317.25</v>
    <v>317.57</v>
    <v>335.43</v>
    <v>310.08999999999997</v>
    <v>303.75</v>
    <v>295.61</v>
    <v>276.05</v>
    <v>299.95999999999998</v>
    <v>294.22000000000003</v>
    <v>286.30500000000001</v>
    <v>271.52</v>
    <v>287.16500000000002</v>
    <v>270</v>
    <v>275.82</v>
    <v>294.89999999999998</v>
    <v>304.33</v>
    <v>296.27999999999997</v>
    <v>279.32</v>
    <v>273.38</v>
    <v>270</v>
    <v>271.27</v>
    <v>250.02</v>
    <v>246.44</v>
    <v>253.43</v>
    <v>261.60000000000002</v>
    <v>252.53</v>
    <v>241.51</v>
    <v>249.51</v>
    <v>252.9</v>
    <v>254.74</v>
    <v>245.94</v>
    <v>253.3</v>
    <v>249.57</v>
    <v>272.38</v>
    <v>277.61</v>
    <v>285.56</v>
    <v>267.98</v>
    <v>254.47</v>
    <v>251.94</v>
    <v>242.06270000000001</v>
    <v>235.2</v>
    <v>232.73</v>
    <v>233.17</v>
    <v>219.13</v>
    <v>234.29</v>
    <v>225.78</v>
    <v>213.43100000000001</v>
    <v>221.28</v>
    <v>237.63</v>
    <v>240.71</v>
    <v>238.21</v>
    <v>242.20500000000001</v>
    <v>243.51</v>
    <v>233.87</v>
    <v>234.17</v>
    <v>219.35</v>
    <v>226.41</v>
    <v>230.68</v>
    <v>230.9</v>
    <v>242.2</v>
    <v>254.78</v>
    <v>256</v>
    <v>248.1</v>
  </a>
</arrayData>
</file>

<file path=xl/richData/rdrichvalue.xml><?xml version="1.0" encoding="utf-8"?>
<rvData xmlns="http://schemas.microsoft.com/office/spreadsheetml/2017/richdata" count="520">
  <rv s="0">
    <fb>44249</fb>
    <v>0</v>
  </rv>
  <rv s="0">
    <fb>232.38</fb>
    <v>1</v>
  </rv>
  <rv s="0">
    <fb>237.42</fb>
    <v>1</v>
  </rv>
  <rv s="0">
    <fb>237.93</fb>
    <v>1</v>
  </rv>
  <rv s="0">
    <fb>227.88</fb>
    <v>1</v>
  </rv>
  <rv s="0">
    <fb>44256</fb>
    <v>0</v>
  </rv>
  <rv s="0">
    <fb>231.6</fb>
    <v>1</v>
  </rv>
  <rv s="0">
    <fb>235.9</fb>
    <v>1</v>
  </rv>
  <rv s="0">
    <fb>237.47</fb>
    <v>1</v>
  </rv>
  <rv s="0">
    <fb>224.26</fb>
    <v>1</v>
  </rv>
  <rv s="0">
    <fb>44263</fb>
    <v>0</v>
  </rv>
  <rv s="0">
    <fb>235.75</fb>
    <v>1</v>
  </rv>
  <rv s="0">
    <fb>231.37</fb>
    <v>1</v>
  </rv>
  <rv s="0">
    <fb>239.17</fb>
    <v>1</v>
  </rv>
  <rv s="0">
    <fb>227.13</fb>
    <v>1</v>
  </rv>
  <rv s="0">
    <fb>44270</fb>
    <v>0</v>
  </rv>
  <rv s="0">
    <fb>230.35</fb>
    <v>1</v>
  </rv>
  <rv s="0">
    <fb>234.96</fb>
    <v>1</v>
  </rv>
  <rv s="0">
    <fb>240.05500000000001</fb>
    <v>1</v>
  </rv>
  <rv s="0">
    <fb>229.34960000000001</fb>
    <v>1</v>
  </rv>
  <rv s="0">
    <fb>44277</fb>
    <v>0</v>
  </rv>
  <rv s="0">
    <fb>236.48</fb>
    <v>1</v>
  </rv>
  <rv s="0">
    <fb>230.27</fb>
    <v>1</v>
  </rv>
  <rv s="0">
    <fb>241.05</fb>
    <v>1</v>
  </rv>
  <rv s="0">
    <fb>230.14</fb>
    <v>1</v>
  </rv>
  <rv s="0">
    <fb>44284</fb>
    <v>0</v>
  </rv>
  <rv s="0">
    <fb>242.35</fb>
    <v>1</v>
  </rv>
  <rv s="0">
    <fb>236.59</fb>
    <v>1</v>
  </rv>
  <rv s="0">
    <fb>242.84</fb>
    <v>1</v>
  </rv>
  <rv s="0">
    <fb>231.1</fb>
    <v>1</v>
  </rv>
  <rv s="0">
    <fb>44291</fb>
    <v>0</v>
  </rv>
  <rv s="0">
    <fb>255.85</fb>
    <v>1</v>
  </rv>
  <rv s="0">
    <fb>242.76</fb>
    <v>1</v>
  </rv>
  <rv s="0">
    <fb>255.99</fb>
    <v>1</v>
  </rv>
  <rv s="0">
    <fb>242.7</fb>
    <v>1</v>
  </rv>
  <rv s="0">
    <fb>44298</fb>
    <v>0</v>
  </rv>
  <rv s="0">
    <fb>260.74</fb>
    <v>1</v>
  </rv>
  <rv s="0">
    <fb>254.71</fb>
    <v>1</v>
  </rv>
  <rv s="0">
    <fb>261</fb>
    <v>1</v>
  </rv>
  <rv s="0">
    <fb>254.62</fb>
    <v>1</v>
  </rv>
  <rv s="0">
    <fb>44305</fb>
    <v>0</v>
  </rv>
  <rv s="0">
    <fb>261.14999999999998</fb>
    <v>1</v>
  </rv>
  <rv s="0">
    <fb>260.19</fb>
    <v>1</v>
  </rv>
  <rv s="0">
    <fb>261.77999999999997</fb>
    <v>1</v>
  </rv>
  <rv s="0">
    <fb>255.64</fb>
    <v>1</v>
  </rv>
  <rv s="0">
    <fb>44312</fb>
    <v>0</v>
  </rv>
  <rv s="0">
    <fb>252.18</fb>
    <v>1</v>
  </rv>
  <rv s="0">
    <fb>261.66000000000003</fb>
    <v>1</v>
  </rv>
  <rv s="0">
    <fb>263.19</fb>
    <v>1</v>
  </rv>
  <rv s="0">
    <fb>249</fb>
    <v>1</v>
  </rv>
  <rv s="0">
    <fb>44319</fb>
    <v>0</v>
  </rv>
  <rv s="0">
    <fb>252.46</fb>
    <v>1</v>
  </rv>
  <rv s="0">
    <fb>253.4</fb>
    <v>1</v>
  </rv>
  <rv s="0">
    <fb>254.35</fb>
    <v>1</v>
  </rv>
  <rv s="0">
    <fb>244.69</fb>
    <v>1</v>
  </rv>
  <rv s="0">
    <fb>44326</fb>
    <v>0</v>
  </rv>
  <rv s="0">
    <fb>248.15</fb>
    <v>1</v>
  </rv>
  <rv s="0">
    <fb>250.87</fb>
    <v>1</v>
  </rv>
  <rv s="0">
    <fb>251.73</fb>
    <v>1</v>
  </rv>
  <rv s="0">
    <fb>238.07</fb>
    <v>1</v>
  </rv>
  <rv s="0">
    <fb>44333</fb>
    <v>0</v>
  </rv>
  <rv s="0">
    <fb>245.17</fb>
    <v>1</v>
  </rv>
  <rv s="0">
    <fb>246.55</fb>
    <v>1</v>
  </rv>
  <rv s="0">
    <fb>248.33</fb>
    <v>1</v>
  </rv>
  <rv s="0">
    <fb>238.6</fb>
    <v>1</v>
  </rv>
  <rv s="0">
    <fb>44340</fb>
    <v>0</v>
  </rv>
  <rv s="0">
    <fb>249.68</fb>
    <v>1</v>
  </rv>
  <rv s="0">
    <fb>247.785</fb>
    <v>1</v>
  </rv>
  <rv s="0">
    <fb>252.94</fb>
    <v>1</v>
  </rv>
  <rv s="0">
    <fb>247.51</fb>
    <v>1</v>
  </rv>
  <rv s="0">
    <fb>44348</fb>
    <v>0</v>
  </rv>
  <rv s="0">
    <fb>250.79</fb>
    <v>1</v>
  </rv>
  <rv s="0">
    <fb>251.23</fb>
    <v>1</v>
  </rv>
  <rv s="0">
    <fb>251.65</fb>
    <v>1</v>
  </rv>
  <rv s="0">
    <fb>243</fb>
    <v>1</v>
  </rv>
  <rv s="0">
    <fb>44354</fb>
    <v>0</v>
  </rv>
  <rv s="0">
    <fb>257.89</fb>
    <v>1</v>
  </rv>
  <rv s="0">
    <fb>249.98</fb>
    <v>1</v>
  </rv>
  <rv s="0">
    <fb>258.48680000000002</fb>
    <v>1</v>
  </rv>
  <rv s="0">
    <fb>249.81</fb>
    <v>1</v>
  </rv>
  <rv s="0">
    <fb>44361</fb>
    <v>0</v>
  </rv>
  <rv s="0">
    <fb>259.43</fb>
    <v>1</v>
  </rv>
  <rv s="0">
    <fb>257.89999999999998</fb>
    <v>1</v>
  </rv>
  <rv s="0">
    <fb>262.3</fb>
    <v>1</v>
  </rv>
  <rv s="0">
    <fb>254.42</fb>
    <v>1</v>
  </rv>
  <rv s="0">
    <fb>44368</fb>
    <v>0</v>
  </rv>
  <rv s="0">
    <fb>265.02</fb>
    <v>1</v>
  </rv>
  <rv s="0">
    <fb>259.82</fb>
    <v>1</v>
  </rv>
  <rv s="0">
    <fb>267.85000000000002</fb>
    <v>1</v>
  </rv>
  <rv s="0">
    <fb>257.92</fb>
    <v>1</v>
  </rv>
  <rv s="0">
    <fb>44375</fb>
    <v>0</v>
  </rv>
  <rv s="0">
    <fb>277.64999999999998</fb>
    <v>1</v>
  </rv>
  <rv s="0">
    <fb>266.185</fb>
    <v>1</v>
  </rv>
  <rv s="0">
    <fb>278</fb>
    <v>1</v>
  </rv>
  <rv s="0">
    <fb>265.91000000000003</fb>
    <v>1</v>
  </rv>
  <rv s="0">
    <fb>44383</fb>
    <v>0</v>
  </rv>
  <rv s="0">
    <fb>277.94</fb>
    <v>1</v>
  </rv>
  <rv s="0">
    <fb>278.02999999999997</fb>
    <v>1</v>
  </rv>
  <rv s="0">
    <fb>280.69450000000001</fb>
    <v>1</v>
  </rv>
  <rv s="0">
    <fb>274.3</fb>
    <v>1</v>
  </rv>
  <rv s="0">
    <fb>44389</fb>
    <v>0</v>
  </rv>
  <rv s="0">
    <fb>280.75</fb>
    <v>1</v>
  </rv>
  <rv s="0">
    <fb>279.15699999999998</fb>
    <v>1</v>
  </rv>
  <rv s="0">
    <fb>284.10000000000002</fb>
    <v>1</v>
  </rv>
  <rv s="0">
    <fb>276.58</fb>
    <v>1</v>
  </rv>
  <rv s="0">
    <fb>44396</fb>
    <v>0</v>
  </rv>
  <rv s="0">
    <fb>289.67</fb>
    <v>1</v>
  </rv>
  <rv s="0">
    <fb>278.93349999999998</fb>
    <v>1</v>
  </rv>
  <rv s="0">
    <fb>289.99</fb>
    <v>1</v>
  </rv>
  <rv s="0">
    <fb>274.45</fb>
    <v>1</v>
  </rv>
  <rv s="0">
    <fb>44403</fb>
    <v>0</v>
  </rv>
  <rv s="0">
    <fb>284.91000000000003</fb>
    <v>1</v>
  </rv>
  <rv s="0">
    <fb>289</fb>
    <v>1</v>
  </rv>
  <rv s="0">
    <fb>290.14999999999998</fb>
    <v>1</v>
  </rv>
  <rv s="0">
    <fb>282.95</fb>
    <v>1</v>
  </rv>
  <rv s="0">
    <fb>44410</fb>
    <v>0</v>
  </rv>
  <rv s="0">
    <fb>289.45999999999998</fb>
    <v>1</v>
  </rv>
  <rv s="0">
    <fb>286.36</fb>
    <v>1</v>
  </rv>
  <rv s="0">
    <fb>289.63</fb>
    <v>1</v>
  </rv>
  <rv s="0">
    <fb>283.74</fb>
    <v>1</v>
  </rv>
  <rv s="0">
    <fb>44417</fb>
    <v>0</v>
  </rv>
  <rv s="0">
    <fb>292.85000000000002</fb>
    <v>1</v>
  </rv>
  <rv s="0">
    <fb>289.75</fb>
    <v>1</v>
  </rv>
  <rv s="0">
    <fb>292.89999999999998</fb>
    <v>1</v>
  </rv>
  <rv s="0">
    <fb>285.2</fb>
    <v>1</v>
  </rv>
  <rv s="0">
    <fb>44424</fb>
    <v>0</v>
  </rv>
  <rv s="0">
    <fb>304.36</fb>
    <v>1</v>
  </rv>
  <rv s="0">
    <fb>293.19</fb>
    <v>1</v>
  </rv>
  <rv s="0">
    <fb>305.83999999999997</fb>
    <v>1</v>
  </rv>
  <rv s="0">
    <fb>288.64</fb>
    <v>1</v>
  </rv>
  <rv s="0">
    <fb>44431</fb>
    <v>0</v>
  </rv>
  <rv s="0">
    <fb>299.72000000000003</fb>
    <v>1</v>
  </rv>
  <rv s="0">
    <fb>303.245</fb>
    <v>1</v>
  </rv>
  <rv s="0">
    <fb>305.64999999999998</fb>
    <v>1</v>
  </rv>
  <rv s="0">
    <fb>296.83</fb>
    <v>1</v>
  </rv>
  <rv s="0">
    <fb>44438</fb>
    <v>0</v>
  </rv>
  <rv s="0">
    <fb>301.14</fb>
    <v>1</v>
  </rv>
  <rv s="0">
    <fb>301.11500000000001</fb>
    <v>1</v>
  </rv>
  <rv s="0">
    <fb>305.19</fb>
    <v>1</v>
  </rv>
  <rv s="0">
    <fb>300.18</fb>
    <v>1</v>
  </rv>
  <rv s="0">
    <fb>44446</fb>
    <v>0</v>
  </rv>
  <rv s="0">
    <fb>295.70999999999998</fb>
    <v>1</v>
  </rv>
  <rv s="0">
    <fb>301.005</fb>
    <v>1</v>
  </rv>
  <rv s="0">
    <fb>302.14</fb>
    <v>1</v>
  </rv>
  <rv s="0">
    <fb>295.38</fb>
    <v>1</v>
  </rv>
  <rv s="0">
    <fb>44452</fb>
    <v>0</v>
  </rv>
  <rv s="0">
    <fb>299.87</fb>
    <v>1</v>
  </rv>
  <rv s="0">
    <fb>297.55</fb>
    <v>1</v>
  </rv>
  <rv s="0">
    <fb>305.32</fb>
    <v>1</v>
  </rv>
  <rv s="0">
    <fb>294.08</fb>
    <v>1</v>
  </rv>
  <rv s="0">
    <fb>44459</fb>
    <v>0</v>
  </rv>
  <rv s="0">
    <fb>299.35000000000002</fb>
    <v>1</v>
  </rv>
  <rv s="0">
    <fb>296.33</fb>
    <v>1</v>
  </rv>
  <rv s="0">
    <fb>300.89999999999998</fb>
    <v>1</v>
  </rv>
  <rv s="0">
    <fb>289.52</fb>
    <v>1</v>
  </rv>
  <rv s="0">
    <fb>44466</fb>
    <v>0</v>
  </rv>
  <rv s="0">
    <fb>289.10000000000002</fb>
    <v>1</v>
  </rv>
  <rv s="0">
    <fb>296.14</fb>
    <v>1</v>
  </rv>
  <rv s="0">
    <fb>296.47000000000003</fb>
    <v>1</v>
  </rv>
  <rv s="0">
    <fb>281.29000000000002</fb>
    <v>1</v>
  </rv>
  <rv s="0">
    <fb>44473</fb>
    <v>0</v>
  </rv>
  <rv s="0">
    <fb>294.85000000000002</fb>
    <v>1</v>
  </rv>
  <rv s="0">
    <fb>287.39999999999998</fb>
    <v>1</v>
  </rv>
  <rv s="0">
    <fb>296.64089999999999</fb>
    <v>1</v>
  </rv>
  <rv s="0">
    <fb>280.25</fb>
    <v>1</v>
  </rv>
  <rv s="0">
    <fb>44480</fb>
    <v>0</v>
  </rv>
  <rv s="0">
    <fb>304.20999999999998</fb>
    <v>1</v>
  </rv>
  <rv s="0">
    <fb>292.92</fb>
    <v>1</v>
  </rv>
  <rv s="0">
    <fb>304.45</fb>
    <v>1</v>
  </rv>
  <rv s="0">
    <fb>292.35000000000002</fb>
    <v>1</v>
  </rv>
  <rv s="0">
    <fb>44487</fb>
    <v>0</v>
  </rv>
  <rv s="0">
    <fb>309.16000000000003</fb>
    <v>1</v>
  </rv>
  <rv s="0">
    <fb>303.57</fb>
    <v>1</v>
  </rv>
  <rv s="0">
    <fb>311.08999999999997</fb>
    <v>1</v>
  </rv>
  <rv s="0">
    <fb>302.69</fb>
    <v>1</v>
  </rv>
  <rv s="0">
    <fb>44494</fb>
    <v>0</v>
  </rv>
  <rv s="0">
    <fb>331.62</fb>
    <v>1</v>
  </rv>
  <rv s="0">
    <fb>309.36</fb>
    <v>1</v>
  </rv>
  <rv s="0">
    <fb>332</fb>
    <v>1</v>
  </rv>
  <rv s="0">
    <fb>306.45999999999998</fb>
    <v>1</v>
  </rv>
  <rv s="0">
    <fb>44501</fb>
    <v>0</v>
  </rv>
  <rv s="0">
    <fb>336.06</fb>
    <v>1</v>
  </rv>
  <rv s="0">
    <fb>331.35500000000002</fb>
    <v>1</v>
  </rv>
  <rv s="0">
    <fb>338.79</fb>
    <v>1</v>
  </rv>
  <rv s="0">
    <fb>326.37</fb>
    <v>1</v>
  </rv>
  <rv s="0">
    <fb>44508</fb>
    <v>0</v>
  </rv>
  <rv s="0">
    <fb>336.72</fb>
    <v>1</v>
  </rv>
  <rv s="0">
    <fb>337.3</fb>
    <v>1</v>
  </rv>
  <rv s="0">
    <fb>338.72</fb>
    <v>1</v>
  </rv>
  <rv s="0">
    <fb>329.92</fb>
    <v>1</v>
  </rv>
  <rv s="0">
    <fb>44515</fb>
    <v>0</v>
  </rv>
  <rv s="0">
    <fb>343.11</fb>
    <v>1</v>
  </rv>
  <rv s="0">
    <fb>337.54</fb>
    <v>1</v>
  </rv>
  <rv s="0">
    <fb>345.1</fb>
    <v>1</v>
  </rv>
  <rv s="0">
    <fb>334.03399999999999</fb>
    <v>1</v>
  </rv>
  <rv s="0">
    <fb>44522</fb>
    <v>0</v>
  </rv>
  <rv s="0">
    <fb>329.68</fb>
    <v>1</v>
  </rv>
  <rv s="0">
    <fb>344.62</fb>
    <v>1</v>
  </rv>
  <rv s="0">
    <fb>349.67</fb>
    <v>1</v>
  </rv>
  <rv s="0">
    <fb>328.12</fb>
    <v>1</v>
  </rv>
  <rv s="0">
    <fb>44529</fb>
    <v>0</v>
  </rv>
  <rv s="0">
    <fb>323.01</fb>
    <v>1</v>
  </rv>
  <rv s="0">
    <fb>334.94</fb>
    <v>1</v>
  </rv>
  <rv s="0">
    <fb>339.28</fb>
    <v>1</v>
  </rv>
  <rv s="0">
    <fb>318.02999999999997</fb>
    <v>1</v>
  </rv>
  <rv s="0">
    <fb>44536</fb>
    <v>0</v>
  </rv>
  <rv s="0">
    <fb>342.54</fb>
    <v>1</v>
  </rv>
  <rv s="0">
    <fb>323.95</fb>
    <v>1</v>
  </rv>
  <rv s="0">
    <fb>343</fb>
    <v>1</v>
  </rv>
  <rv s="0">
    <fb>319.23</fb>
    <v>1</v>
  </rv>
  <rv s="0">
    <fb>44543</fb>
    <v>0</v>
  </rv>
  <rv s="0">
    <fb>323.8</fb>
    <v>1</v>
  </rv>
  <rv s="0">
    <fb>340.68</fb>
    <v>1</v>
  </rv>
  <rv s="0">
    <fb>343.79</fb>
    <v>1</v>
  </rv>
  <rv s="0">
    <fb>317.25</fb>
    <v>1</v>
  </rv>
  <rv s="0">
    <fb>44550</fb>
    <v>0</v>
  </rv>
  <rv s="0">
    <fb>334.69</fb>
    <v>1</v>
  </rv>
  <rv s="0">
    <fb>320.05</fb>
    <v>1</v>
  </rv>
  <rv s="0">
    <fb>336.39</fb>
    <v>1</v>
  </rv>
  <rv s="0">
    <fb>317.57</fb>
    <v>1</v>
  </rv>
  <rv s="0">
    <fb>44557</fb>
    <v>0</v>
  </rv>
  <rv s="0">
    <fb>336.32</fb>
    <v>1</v>
  </rv>
  <rv s="0">
    <fb>335.46</fb>
    <v>1</v>
  </rv>
  <rv s="0">
    <fb>344.3</fb>
    <v>1</v>
  </rv>
  <rv s="0">
    <fb>335.43</fb>
    <v>1</v>
  </rv>
  <rv s="0">
    <fb>44564</fb>
    <v>0</v>
  </rv>
  <rv s="0">
    <fb>314.04000000000002</fb>
    <v>1</v>
  </rv>
  <rv s="0">
    <fb>335.35</fb>
    <v>1</v>
  </rv>
  <rv s="0">
    <fb>338</fb>
    <v>1</v>
  </rv>
  <rv s="0">
    <fb>310.08999999999997</fb>
    <v>1</v>
  </rv>
  <rv s="0">
    <fb>44571</fb>
    <v>0</v>
  </rv>
  <rv s="0">
    <fb>310.2</fb>
    <v>1</v>
  </rv>
  <rv s="0">
    <fb>309.48500000000001</fb>
    <v>1</v>
  </rv>
  <rv s="0">
    <fb>323.41000000000003</fb>
    <v>1</v>
  </rv>
  <rv s="0">
    <fb>303.75</fb>
    <v>1</v>
  </rv>
  <rv s="0">
    <fb>44579</fb>
    <v>0</v>
  </rv>
  <rv s="0">
    <fb>296.02999999999997</fb>
    <v>1</v>
  </rv>
  <rv s="0">
    <fb>304.07</fb>
    <v>1</v>
  </rv>
  <rv s="0">
    <fb>313.90929999999997</fb>
    <v>1</v>
  </rv>
  <rv s="0">
    <fb>295.61</fb>
    <v>1</v>
  </rv>
  <rv s="0">
    <fb>44585</fb>
    <v>0</v>
  </rv>
  <rv s="0">
    <fb>308.26</fb>
    <v>1</v>
  </rv>
  <rv s="0">
    <fb>292.2</fb>
    <v>1</v>
  </rv>
  <rv s="0">
    <fb>308.5</fb>
    <v>1</v>
  </rv>
  <rv s="0">
    <fb>276.05</fb>
    <v>1</v>
  </rv>
  <rv s="0">
    <fb>44592</fb>
    <v>0</v>
  </rv>
  <rv s="0">
    <fb>305.94</fb>
    <v>1</v>
  </rv>
  <rv s="0">
    <fb>308.95</fb>
    <v>1</v>
  </rv>
  <rv s="0">
    <fb>315.12</fb>
    <v>1</v>
  </rv>
  <rv s="0">
    <fb>299.95999999999998</fb>
    <v>1</v>
  </rv>
  <rv s="0">
    <fb>44599</fb>
    <v>0</v>
  </rv>
  <rv s="0">
    <fb>295.04000000000002</fb>
    <v>1</v>
  </rv>
  <rv s="0">
    <fb>306.17</fb>
    <v>1</v>
  </rv>
  <rv s="0">
    <fb>311.93</fb>
    <v>1</v>
  </rv>
  <rv s="0">
    <fb>294.22000000000003</fb>
    <v>1</v>
  </rv>
  <rv s="0">
    <fb>44606</fb>
    <v>0</v>
  </rv>
  <rv s="0">
    <fb>287.93</fb>
    <v>1</v>
  </rv>
  <rv s="0">
    <fb>293.77</fb>
    <v>1</v>
  </rv>
  <rv s="0">
    <fb>300.87</fb>
    <v>1</v>
  </rv>
  <rv s="0">
    <fb>286.30500000000001</fb>
    <v>1</v>
  </rv>
  <rv s="0">
    <fb>44614</fb>
    <v>0</v>
  </rv>
  <rv s="0">
    <fb>297.31</fb>
    <v>1</v>
  </rv>
  <rv s="0">
    <fb>285</fb>
    <v>1</v>
  </rv>
  <rv s="0">
    <fb>297.63</fb>
    <v>1</v>
  </rv>
  <rv s="0">
    <fb>271.52</fb>
    <v>1</v>
  </rv>
  <rv s="0">
    <fb>44620</fb>
    <v>0</v>
  </rv>
  <rv s="0">
    <fb>289.86</fb>
    <v>1</v>
  </rv>
  <rv s="0">
    <fb>294.31</fb>
    <v>1</v>
  </rv>
  <rv s="0">
    <fb>303.13</fb>
    <v>1</v>
  </rv>
  <rv s="0">
    <fb>287.16500000000002</fb>
    <v>1</v>
  </rv>
  <rv s="0">
    <fb>44627</fb>
    <v>0</v>
  </rv>
  <rv s="0">
    <fb>280.07</fb>
    <v>1</v>
  </rv>
  <rv s="0">
    <fb>288.52999999999997</fb>
    <v>1</v>
  </rv>
  <rv s="0">
    <fb>289.69</fb>
    <v>1</v>
  </rv>
  <rv s="0">
    <fb>270</fb>
    <v>1</v>
  </rv>
  <rv s="0">
    <fb>44634</fb>
    <v>0</v>
  </rv>
  <rv s="0">
    <fb>300.43</fb>
    <v>1</v>
  </rv>
  <rv s="0">
    <fb>280.33999999999997</fb>
    <v>1</v>
  </rv>
  <rv s="0">
    <fb>301</fb>
    <v>1</v>
  </rv>
  <rv s="0">
    <fb>275.82</fb>
    <v>1</v>
  </rv>
  <rv s="0">
    <fb>44641</fb>
    <v>0</v>
  </rv>
  <rv s="0">
    <fb>303.68</fb>
    <v>1</v>
  </rv>
  <rv s="0">
    <fb>298.89</fb>
    <v>1</v>
  </rv>
  <rv s="0">
    <fb>305.5</fb>
    <v>1</v>
  </rv>
  <rv s="0">
    <fb>294.89999999999998</fb>
    <v>1</v>
  </rv>
  <rv s="0">
    <fb>44648</fb>
    <v>0</v>
  </rv>
  <rv s="0">
    <fb>309.42</fb>
    <v>1</v>
  </rv>
  <rv s="0">
    <fb>304.33</fb>
    <v>1</v>
  </rv>
  <rv s="0">
    <fb>315.95</fb>
    <v>1</v>
  </rv>
  <rv s="0">
    <fb>44655</fb>
    <v>0</v>
  </rv>
  <rv s="0">
    <fb>296.97000000000003</fb>
    <v>1</v>
  </rv>
  <rv s="0">
    <fb>315.11</fb>
    <v>1</v>
  </rv>
  <rv s="0">
    <fb>296.27999999999997</fb>
    <v>1</v>
  </rv>
  <rv s="0">
    <fb>44662</fb>
    <v>0</v>
  </rv>
  <rv s="0">
    <fb>279.83</fb>
    <v>1</v>
  </rv>
  <rv s="0">
    <fb>291.79000000000002</fb>
    <v>1</v>
  </rv>
  <rv s="0">
    <fb>292.61</fb>
    <v>1</v>
  </rv>
  <rv s="0">
    <fb>279.32</fb>
    <v>1</v>
  </rv>
  <rv s="0">
    <fb>44669</fb>
    <v>0</v>
  </rv>
  <rv s="0">
    <fb>274.02999999999997</fb>
    <v>1</v>
  </rv>
  <rv s="0">
    <fb>278.91000000000003</fb>
    <v>1</v>
  </rv>
  <rv s="0">
    <fb>293.3</fb>
    <v>1</v>
  </rv>
  <rv s="0">
    <fb>273.38</fb>
    <v>1</v>
  </rv>
  <rv s="0">
    <fb>44676</fb>
    <v>0</v>
  </rv>
  <rv s="0">
    <fb>277.52</fb>
    <v>1</v>
  </rv>
  <rv s="0">
    <fb>273.29000000000002</fb>
    <v>1</v>
  </rv>
  <rv s="0">
    <fb>290.98</fb>
    <v>1</v>
  </rv>
  <rv s="0">
    <fb>44683</fb>
    <v>0</v>
  </rv>
  <rv s="0">
    <fb>274.73</fb>
    <v>1</v>
  </rv>
  <rv s="0">
    <fb>277.70999999999998</fb>
    <v>1</v>
  </rv>
  <rv s="0">
    <fb>290.88</fb>
    <v>1</v>
  </rv>
  <rv s="0">
    <fb>271.27</fb>
    <v>1</v>
  </rv>
  <rv s="0">
    <fb>44690</fb>
    <v>0</v>
  </rv>
  <rv s="0">
    <fb>261.12</fb>
    <v>1</v>
  </rv>
  <rv s="0">
    <fb>270.06</fb>
    <v>1</v>
  </rv>
  <rv s="0">
    <fb>273.75</fb>
    <v>1</v>
  </rv>
  <rv s="0">
    <fb>250.02</fb>
    <v>1</v>
  </rv>
  <rv s="0">
    <fb>44697</fb>
    <v>0</v>
  </rv>
  <rv s="0">
    <fb>252.56</fb>
    <v>1</v>
  </rv>
  <rv s="0">
    <fb>259.95499999999998</fb>
    <v>1</v>
  </rv>
  <rv s="0">
    <fb>268.33</fb>
    <v>1</v>
  </rv>
  <rv s="0">
    <fb>246.44</fb>
    <v>1</v>
  </rv>
  <rv s="0">
    <fb>44704</fb>
    <v>0</v>
  </rv>
  <rv s="0">
    <fb>273.24</fb>
    <v>1</v>
  </rv>
  <rv s="0">
    <fb>255.49</fb>
    <v>1</v>
  </rv>
  <rv s="0">
    <fb>273.33999999999997</fb>
    <v>1</v>
  </rv>
  <rv s="0">
    <fb>253.43</fb>
    <v>1</v>
  </rv>
  <rv s="0">
    <fb>44712</fb>
    <v>0</v>
  </rv>
  <rv s="0">
    <fb>270.02</fb>
    <v>1</v>
  </rv>
  <rv s="0">
    <fb>272.52999999999997</fb>
    <v>1</v>
  </rv>
  <rv s="0">
    <fb>277.69</fb>
    <v>1</v>
  </rv>
  <rv s="0">
    <fb>261.60000000000002</fb>
    <v>1</v>
  </rv>
  <rv s="0">
    <fb>44718</fb>
    <v>0</v>
  </rv>
  <rv s="0">
    <fb>252.99</fb>
    <v>1</v>
  </rv>
  <rv s="0">
    <fb>272.06</fb>
    <v>1</v>
  </rv>
  <rv s="0">
    <fb>274.18</fb>
    <v>1</v>
  </rv>
  <rv s="0">
    <fb>252.53</fb>
    <v>1</v>
  </rv>
  <rv s="0">
    <fb>44725</fb>
    <v>0</v>
  </rv>
  <rv s="0">
    <fb>247.65</fb>
    <v>1</v>
  </rv>
  <rv s="0">
    <fb>245.11</fb>
    <v>1</v>
  </rv>
  <rv s="0">
    <fb>255.3</fb>
    <v>1</v>
  </rv>
  <rv s="0">
    <fb>241.51</fb>
    <v>1</v>
  </rv>
  <rv s="0">
    <fb>44733</fb>
    <v>0</v>
  </rv>
  <rv s="0">
    <fb>267.7</fb>
    <v>1</v>
  </rv>
  <rv s="0">
    <fb>250.255</fb>
    <v>1</v>
  </rv>
  <rv s="0">
    <fb>267.98</fb>
    <v>1</v>
  </rv>
  <rv s="0">
    <fb>249.51</fb>
    <v>1</v>
  </rv>
  <rv s="0">
    <fb>44739</fb>
    <v>0</v>
  </rv>
  <rv s="0">
    <fb>259.58</fb>
    <v>1</v>
  </rv>
  <rv s="0">
    <fb>268.20499999999998</fb>
    <v>1</v>
  </rv>
  <rv s="0">
    <fb>268.3</fb>
    <v>1</v>
  </rv>
  <rv s="0">
    <fb>252.9</fb>
    <v>1</v>
  </rv>
  <rv s="0">
    <fb>44747</fb>
    <v>0</v>
  </rv>
  <rv s="0">
    <fb>267.66000000000003</fb>
    <v>1</v>
  </rv>
  <rv s="0">
    <fb>256.16000000000003</fb>
    <v>1</v>
  </rv>
  <rv s="0">
    <fb>269.05500000000001</fb>
    <v>1</v>
  </rv>
  <rv s="0">
    <fb>254.74</fb>
    <v>1</v>
  </rv>
  <rv s="0">
    <fb>44753</fb>
    <v>0</v>
  </rv>
  <rv s="0">
    <fb>256.72000000000003</fb>
    <v>1</v>
  </rv>
  <rv s="0">
    <fb>265.64999999999998</fb>
    <v>1</v>
  </rv>
  <rv s="0">
    <fb>266.52999999999997</fb>
    <v>1</v>
  </rv>
  <rv s="0">
    <fb>245.94</fb>
    <v>1</v>
  </rv>
  <rv s="0">
    <fb>44760</fb>
    <v>0</v>
  </rv>
  <rv s="0">
    <fb>260.36</fb>
    <v>1</v>
  </rv>
  <rv s="0">
    <fb>259.75</fb>
    <v>1</v>
  </rv>
  <rv s="0">
    <fb>265.33</fb>
    <v>1</v>
  </rv>
  <rv s="0">
    <fb>253.3</fb>
    <v>1</v>
  </rv>
  <rv s="0">
    <fb>44767</fb>
    <v>0</v>
  </rv>
  <rv s="0">
    <fb>280.74</fb>
    <v>1</v>
  </rv>
  <rv s="0">
    <fb>260.995</fb>
    <v>1</v>
  </rv>
  <rv s="0">
    <fb>282</fb>
    <v>1</v>
  </rv>
  <rv s="0">
    <fb>249.57</fb>
    <v>1</v>
  </rv>
  <rv s="0">
    <fb>44774</fb>
    <v>0</v>
  </rv>
  <rv s="0">
    <fb>282.91000000000003</fb>
    <v>1</v>
  </rv>
  <rv s="0">
    <fb>277.82</fb>
    <v>1</v>
  </rv>
  <rv s="0">
    <fb>283.8</fb>
    <v>1</v>
  </rv>
  <rv s="0">
    <fb>272.38</fb>
    <v>1</v>
  </rv>
  <rv s="0">
    <fb>44781</fb>
    <v>0</v>
  </rv>
  <rv s="0">
    <fb>291.91000000000003</fb>
    <v>1</v>
  </rv>
  <rv s="0">
    <fb>284.05</fb>
    <v>1</v>
  </rv>
  <rv s="0">
    <fb>277.61</fb>
    <v>1</v>
  </rv>
  <rv s="0">
    <fb>44788</fb>
    <v>0</v>
  </rv>
  <rv s="0">
    <fb>286.14999999999998</fb>
    <v>1</v>
  </rv>
  <rv s="0">
    <fb>291</fb>
    <v>1</v>
  </rv>
  <rv s="0">
    <fb>294.18</fb>
    <v>1</v>
  </rv>
  <rv s="0">
    <fb>285.56</fb>
    <v>1</v>
  </rv>
  <rv s="0">
    <fb>44795</fb>
    <v>0</v>
  </rv>
  <rv s="0">
    <fb>268.08999999999997</fb>
    <v>1</v>
  </rv>
  <rv s="0">
    <fb>282.08</fb>
    <v>1</v>
  </rv>
  <rv s="0">
    <fb>282.45999999999998</fb>
    <v>1</v>
  </rv>
  <rv s="0">
    <fb>44802</fb>
    <v>0</v>
  </rv>
  <rv s="0">
    <fb>256.06</fb>
    <v>1</v>
  </rv>
  <rv s="0">
    <fb>265.85000000000002</fb>
    <v>1</v>
  </rv>
  <rv s="0">
    <fb>267.39999999999998</fb>
    <v>1</v>
  </rv>
  <rv s="0">
    <fb>254.47</fb>
    <v>1</v>
  </rv>
  <rv s="0">
    <fb>44810</fb>
    <v>0</v>
  </rv>
  <rv s="0">
    <fb>264.45999999999998</fb>
    <v>1</v>
  </rv>
  <rv s="0">
    <fb>256.2</fb>
    <v>1</v>
  </rv>
  <rv s="0">
    <fb>265.23</fb>
    <v>1</v>
  </rv>
  <rv s="0">
    <fb>251.94</fb>
    <v>1</v>
  </rv>
  <rv s="0">
    <fb>44816</fb>
    <v>0</v>
  </rv>
  <rv s="0">
    <fb>244.74</fb>
    <v>1</v>
  </rv>
  <rv s="0">
    <fb>265.77999999999997</fb>
    <v>1</v>
  </rv>
  <rv s="0">
    <fb>267.45</fb>
    <v>1</v>
  </rv>
  <rv s="0">
    <fb>242.06270000000001</fb>
    <v>1</v>
  </rv>
  <rv s="0">
    <fb>44823</fb>
    <v>0</v>
  </rv>
  <rv s="0">
    <fb>237.92</fb>
    <v>1</v>
  </rv>
  <rv s="0">
    <fb>242.465</fb>
    <v>1</v>
  </rv>
  <rv s="0">
    <fb>247.66</fb>
    <v>1</v>
  </rv>
  <rv s="0">
    <fb>235.2</fb>
    <v>1</v>
  </rv>
  <rv s="0">
    <fb>44830</fb>
    <v>0</v>
  </rv>
  <rv s="0">
    <fb>232.9</fb>
    <v>1</v>
  </rv>
  <rv s="0">
    <fb>237.04499999999999</fb>
    <v>1</v>
  </rv>
  <rv s="0">
    <fb>242.33</fb>
    <v>1</v>
  </rv>
  <rv s="0">
    <fb>232.73</fb>
    <v>1</v>
  </rv>
  <rv s="0">
    <fb>44837</fb>
    <v>0</v>
  </rv>
  <rv s="0">
    <fb>234.24</fb>
    <v>1</v>
  </rv>
  <rv s="0">
    <fb>235.41</fb>
    <v>1</v>
  </rv>
  <rv s="0">
    <fb>250.58</fb>
    <v>1</v>
  </rv>
  <rv s="0">
    <fb>233.17</fb>
    <v>1</v>
  </rv>
  <rv s="0">
    <fb>44844</fb>
    <v>0</v>
  </rv>
  <rv s="0">
    <fb>228.56</fb>
    <v>1</v>
  </rv>
  <rv s="0">
    <fb>233.05</fb>
    <v>1</v>
  </rv>
  <rv s="0">
    <fb>237.24</fb>
    <v>1</v>
  </rv>
  <rv s="0">
    <fb>219.13</fb>
    <v>1</v>
  </rv>
  <rv s="0">
    <fb>44851</fb>
    <v>0</v>
  </rv>
  <rv s="0">
    <fb>242.12</fb>
    <v>1</v>
  </rv>
  <rv s="0">
    <fb>235.82</fb>
    <v>1</v>
  </rv>
  <rv s="0">
    <fb>243.93</fb>
    <v>1</v>
  </rv>
  <rv s="0">
    <fb>234.29</fb>
    <v>1</v>
  </rv>
  <rv s="0">
    <fb>44858</fb>
    <v>0</v>
  </rv>
  <rv s="0">
    <fb>235.87</fb>
    <v>1</v>
  </rv>
  <rv s="0">
    <fb>243.76</fb>
    <v>1</v>
  </rv>
  <rv s="0">
    <fb>251.04</fb>
    <v>1</v>
  </rv>
  <rv s="0">
    <fb>225.78</fb>
    <v>1</v>
  </rv>
  <rv s="0">
    <fb>44865</fb>
    <v>0</v>
  </rv>
  <rv s="0">
    <fb>221.39</fb>
    <v>1</v>
  </rv>
  <rv s="0">
    <fb>233.76</fb>
    <v>1</v>
  </rv>
  <rv s="0">
    <fb>235.74</fb>
    <v>1</v>
  </rv>
  <rv s="0">
    <fb>213.43100000000001</fb>
    <v>1</v>
  </rv>
  <rv s="0">
    <fb>44872</fb>
    <v>0</v>
  </rv>
  <rv s="0">
    <fb>247.11</fb>
    <v>1</v>
  </rv>
  <rv s="0">
    <fb>221.99</fb>
    <v>1</v>
  </rv>
  <rv s="0">
    <fb>247.99</fb>
    <v>1</v>
  </rv>
  <rv s="0">
    <fb>221.28</fb>
    <v>1</v>
  </rv>
  <rv s="0">
    <fb>44879</fb>
    <v>0</v>
  </rv>
  <rv s="0">
    <fb>241.22</fb>
    <v>1</v>
  </rv>
  <rv s="0">
    <fb>241.98500000000001</fb>
    <v>1</v>
  </rv>
  <rv s="0">
    <fb>247</fb>
    <v>1</v>
  </rv>
  <rv s="0">
    <fb>237.63</fb>
    <v>1</v>
  </rv>
  <rv s="0">
    <fb>44886</fb>
    <v>0</v>
  </rv>
  <rv s="0">
    <fb>247.49</fb>
    <v>1</v>
  </rv>
  <rv s="0">
    <fb>241.43</fb>
    <v>1</v>
  </rv>
  <rv s="0">
    <fb>248.7</fb>
    <v>1</v>
  </rv>
  <rv s="0">
    <fb>240.71</fb>
    <v>1</v>
  </rv>
  <rv s="0">
    <fb>44893</fb>
    <v>0</v>
  </rv>
  <rv s="0">
    <fb>255.02</fb>
    <v>1</v>
  </rv>
  <rv s="0">
    <fb>246.08</fb>
    <v>1</v>
  </rv>
  <rv s="0">
    <fb>256.12</fb>
    <v>1</v>
  </rv>
  <rv s="0">
    <fb>238.21</fb>
    <v>1</v>
  </rv>
  <rv s="0">
    <fb>44900</fb>
    <v>0</v>
  </rv>
  <rv s="0">
    <fb>245.42</fb>
    <v>1</v>
  </rv>
  <rv s="0">
    <fb>252.01</fb>
    <v>1</v>
  </rv>
  <rv s="0">
    <fb>253.81899999999999</fb>
    <v>1</v>
  </rv>
  <rv s="0">
    <fb>242.20500000000001</fb>
    <v>1</v>
  </rv>
  <rv s="0">
    <fb>44907</fb>
    <v>0</v>
  </rv>
  <rv s="0">
    <fb>247.44499999999999</fb>
    <v>1</v>
  </rv>
  <rv s="0">
    <fb>263.91500000000002</fb>
    <v>1</v>
  </rv>
  <rv s="0">
    <fb>243.51</fb>
    <v>1</v>
  </rv>
  <rv s="0">
    <fb>44914</fb>
    <v>0</v>
  </rv>
  <rv s="0">
    <fb>238.73</fb>
    <v>1</v>
  </rv>
  <rv s="0">
    <fb>244.86</fb>
    <v>1</v>
  </rv>
  <rv s="0">
    <fb>245.61500000000001</fb>
    <v>1</v>
  </rv>
  <rv s="0">
    <fb>233.87</fb>
    <v>1</v>
  </rv>
  <rv s="0">
    <fb>44922</fb>
    <v>0</v>
  </rv>
  <rv s="0">
    <fb>239.82</fb>
    <v>1</v>
  </rv>
  <rv s="0">
    <fb>238.7</fb>
    <v>1</v>
  </rv>
  <rv s="0">
    <fb>241.92</fb>
    <v>1</v>
  </rv>
  <rv s="0">
    <fb>234.17</fb>
    <v>1</v>
  </rv>
  <rv s="0">
    <fb>44929</fb>
    <v>0</v>
  </rv>
  <rv s="0">
    <fb>224.93</fb>
    <v>1</v>
  </rv>
  <rv s="0">
    <fb>243.08</fb>
    <v>1</v>
  </rv>
  <rv s="0">
    <fb>245.75</fb>
    <v>1</v>
  </rv>
  <rv s="0">
    <fb>219.35</fb>
    <v>1</v>
  </rv>
  <rv s="0">
    <fb>44935</fb>
    <v>0</v>
  </rv>
  <rv s="0">
    <fb>239.23</fb>
    <v>1</v>
  </rv>
  <rv s="0">
    <fb>226.45</fb>
    <v>1</v>
  </rv>
  <rv s="0">
    <fb>239.9</fb>
    <v>1</v>
  </rv>
  <rv s="0">
    <fb>226.41</fb>
    <v>1</v>
  </rv>
  <rv s="0">
    <fb>44943</fb>
    <v>0</v>
  </rv>
  <rv s="0">
    <fb>240.22</fb>
    <v>1</v>
  </rv>
  <rv s="0">
    <fb>237.97</fb>
    <v>1</v>
  </rv>
  <rv s="0">
    <fb>242.38</fb>
    <v>1</v>
  </rv>
  <rv s="0">
    <fb>230.68</fb>
    <v>1</v>
  </rv>
  <rv s="0">
    <fb>44949</fb>
    <v>0</v>
  </rv>
  <rv s="0">
    <fb>248.16</fb>
    <v>1</v>
  </rv>
  <rv s="0">
    <fb>241.1</fb>
    <v>1</v>
  </rv>
  <rv s="0">
    <fb>249.83</fb>
    <v>1</v>
  </rv>
  <rv s="0">
    <fb>230.9</fb>
    <v>1</v>
  </rv>
  <rv s="0">
    <fb>44956</fb>
    <v>0</v>
  </rv>
  <rv s="0">
    <fb>258.35000000000002</fb>
    <v>1</v>
  </rv>
  <rv s="0">
    <fb>244.51</fb>
    <v>1</v>
  </rv>
  <rv s="0">
    <fb>264.69</fb>
    <v>1</v>
  </rv>
  <rv s="0">
    <fb>242.2</fb>
    <v>1</v>
  </rv>
  <rv s="0">
    <fb>44963</fb>
    <v>0</v>
  </rv>
  <rv s="0">
    <fb>263.10000000000002</fb>
    <v>1</v>
  </rv>
  <rv s="0">
    <fb>257.44</fb>
    <v>1</v>
  </rv>
  <rv s="0">
    <fb>276.76</fb>
    <v>1</v>
  </rv>
  <rv s="0">
    <fb>254.78</fb>
    <v>1</v>
  </rv>
  <rv s="0">
    <fb>44970</fb>
    <v>0</v>
  </rv>
  <rv s="0">
    <fb>258.06</fb>
    <v>1</v>
  </rv>
  <rv s="0">
    <fb>267.64</fb>
    <v>1</v>
  </rv>
  <rv s="0">
    <fb>274.97000000000003</fb>
    <v>1</v>
  </rv>
  <rv s="0">
    <fb>256</fb>
    <v>1</v>
  </rv>
  <rv s="0">
    <fb>44978</fb>
    <v>0</v>
  </rv>
  <rv s="0">
    <fb>249.22</fb>
    <v>1</v>
  </rv>
  <rv s="0">
    <fb>254.48</fb>
    <v>1</v>
  </rv>
  <rv s="0">
    <fb>256.83999999999997</fb>
    <v>1</v>
  </rv>
  <rv s="0">
    <fb>248.1</fb>
    <v>1</v>
  </rv>
  <rv s="1">
    <v>2</v>
    <v>MSFT</v>
    <v>Weekly</v>
    <v>44248</v>
    <v>44982</v>
    <v>0</v>
    <v>1</v>
    <v>638127936000000000,638819327666726876,0</v>
    <v>0</v>
    <v>a1xzim</v>
    <v>XNAS:MSFT</v>
    <v>1</v>
    <v>2</v>
    <v>3</v>
    <v>4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  <k n="Open" t="a"/>
    <k n="High" t="a"/>
    <k n="Low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2</v>
      <v>1</v>
      <v>2</v>
      <v>2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Low" t="i"/>
    <k n="Date" t="i"/>
    <k n="High" t="i"/>
    <k n="Open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dd/mm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A842E-B6D7-3D4C-A444-48D7382ABA23}">
  <sheetPr>
    <tabColor rgb="FF7030A0"/>
  </sheetPr>
  <dimension ref="A1"/>
  <sheetViews>
    <sheetView showGridLines="0" workbookViewId="0"/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EE783-46FB-D043-BCA0-9C6BEB5E302D}">
  <dimension ref="A2:M106"/>
  <sheetViews>
    <sheetView showGridLines="0" tabSelected="1" zoomScale="150" zoomScaleNormal="138" workbookViewId="0">
      <selection activeCell="B4" sqref="B4"/>
    </sheetView>
  </sheetViews>
  <sheetFormatPr baseColWidth="10" defaultColWidth="13" defaultRowHeight="14"/>
  <cols>
    <col min="1" max="1" width="2.19921875" customWidth="1"/>
    <col min="2" max="2" width="30.796875" customWidth="1"/>
    <col min="3" max="3" width="14.19921875" bestFit="1" customWidth="1"/>
  </cols>
  <sheetData>
    <row r="2" spans="1:13">
      <c r="B2" s="97" t="str">
        <f>"Historical Financial Statement - "&amp;'Data Sheet'!B1</f>
        <v>Historical Financial Statement - TATA MOTORS LTD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</row>
    <row r="3" spans="1:13">
      <c r="B3" s="7" t="s">
        <v>54</v>
      </c>
      <c r="C3" s="8">
        <f>'Data Sheet'!B16</f>
        <v>42094</v>
      </c>
      <c r="D3" s="8">
        <f>'Data Sheet'!C16</f>
        <v>42460</v>
      </c>
      <c r="E3" s="8">
        <f>'Data Sheet'!D16</f>
        <v>42825</v>
      </c>
      <c r="F3" s="8">
        <f>'Data Sheet'!E16</f>
        <v>43190</v>
      </c>
      <c r="G3" s="8">
        <f>'Data Sheet'!F16</f>
        <v>43555</v>
      </c>
      <c r="H3" s="8">
        <f>'Data Sheet'!G16</f>
        <v>43921</v>
      </c>
      <c r="I3" s="8">
        <f>'Data Sheet'!H16</f>
        <v>44286</v>
      </c>
      <c r="J3" s="8">
        <f>'Data Sheet'!I16</f>
        <v>44651</v>
      </c>
      <c r="K3" s="8">
        <f>'Data Sheet'!J16</f>
        <v>45016</v>
      </c>
      <c r="L3" s="8">
        <f>'Data Sheet'!K16</f>
        <v>45382</v>
      </c>
      <c r="M3" s="9" t="s">
        <v>55</v>
      </c>
    </row>
    <row r="4" spans="1:13">
      <c r="A4" s="15" t="s">
        <v>56</v>
      </c>
      <c r="B4" s="16" t="s">
        <v>57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3">
      <c r="B5" t="s">
        <v>12</v>
      </c>
      <c r="C5" s="13">
        <f>IFERROR('Data Sheet'!B17,0)</f>
        <v>263158.98</v>
      </c>
      <c r="D5" s="13">
        <f>IFERROR('Data Sheet'!C17,0)</f>
        <v>273045.59999999998</v>
      </c>
      <c r="E5" s="13">
        <f>IFERROR('Data Sheet'!D17,0)</f>
        <v>269692.51</v>
      </c>
      <c r="F5" s="13">
        <f>IFERROR('Data Sheet'!E17,0)</f>
        <v>291550.48</v>
      </c>
      <c r="G5" s="13">
        <f>IFERROR('Data Sheet'!F17,0)</f>
        <v>301938.40000000002</v>
      </c>
      <c r="H5" s="13">
        <f>IFERROR('Data Sheet'!G17,0)</f>
        <v>261067.97</v>
      </c>
      <c r="I5" s="13">
        <f>IFERROR('Data Sheet'!H17,0)</f>
        <v>249794.75</v>
      </c>
      <c r="J5" s="13">
        <f>IFERROR('Data Sheet'!I17,0)</f>
        <v>278453.62</v>
      </c>
      <c r="K5" s="13">
        <f>IFERROR('Data Sheet'!J17,0)</f>
        <v>345966.97</v>
      </c>
      <c r="L5" s="13">
        <f>IFERROR('Data Sheet'!K17,0)</f>
        <v>437927.77</v>
      </c>
      <c r="M5" s="13">
        <f>IFERROR(SUM('Data Sheet'!H42:K42),0)</f>
        <v>440061.14</v>
      </c>
    </row>
    <row r="6" spans="1:13">
      <c r="B6" s="11" t="s">
        <v>58</v>
      </c>
      <c r="C6" s="11"/>
      <c r="D6" s="12">
        <f>D5/C5-1</f>
        <v>3.75690010654397E-2</v>
      </c>
      <c r="E6" s="12">
        <f t="shared" ref="E6:M6" si="0">E5/D5-1</f>
        <v>-1.2280329732469508E-2</v>
      </c>
      <c r="F6" s="12">
        <f t="shared" si="0"/>
        <v>8.104774581985974E-2</v>
      </c>
      <c r="G6" s="12">
        <f t="shared" si="0"/>
        <v>3.5629919045237157E-2</v>
      </c>
      <c r="H6" s="12">
        <f t="shared" si="0"/>
        <v>-0.135360159555724</v>
      </c>
      <c r="I6" s="12">
        <f t="shared" si="0"/>
        <v>-4.3181168490336042E-2</v>
      </c>
      <c r="J6" s="12">
        <f t="shared" si="0"/>
        <v>0.11472967306158344</v>
      </c>
      <c r="K6" s="12">
        <f t="shared" si="0"/>
        <v>0.24245815155859707</v>
      </c>
      <c r="L6" s="12">
        <f t="shared" si="0"/>
        <v>0.26580803363974326</v>
      </c>
      <c r="M6" s="12">
        <f t="shared" si="0"/>
        <v>4.8715111170045677E-3</v>
      </c>
    </row>
    <row r="8" spans="1:13">
      <c r="B8" t="s">
        <v>59</v>
      </c>
      <c r="C8" s="13" cm="1">
        <f t="array" ref="C8">IFERROR(SUM('Data Sheet'!B18,'Data Sheet'!B20:B22-1*'Data Sheet'!B19),0)</f>
        <v>196196.18</v>
      </c>
      <c r="D8" s="13" cm="1">
        <f t="array" ref="D8">IFERROR(SUM('Data Sheet'!C18,'Data Sheet'!C20:C22-1*'Data Sheet'!C19),0)</f>
        <v>200007.09000000003</v>
      </c>
      <c r="E8" s="13" cm="1">
        <f t="array" ref="E8">IFERROR(SUM('Data Sheet'!D18,'Data Sheet'!D20:D22-1*'Data Sheet'!D19),0)</f>
        <v>190654.4</v>
      </c>
      <c r="F8" s="13" cm="1">
        <f t="array" ref="F8">IFERROR(SUM('Data Sheet'!E18,'Data Sheet'!E20:E22-1*'Data Sheet'!E19),0)</f>
        <v>224336.66999999998</v>
      </c>
      <c r="G8" s="13" cm="1">
        <f t="array" ref="G8">IFERROR(SUM('Data Sheet'!F18,'Data Sheet'!F20:F22-1*'Data Sheet'!F19),0)</f>
        <v>246952.09</v>
      </c>
      <c r="H8" s="13" cm="1">
        <f t="array" ref="H8">IFERROR(SUM('Data Sheet'!G18,'Data Sheet'!G20:G22-1*'Data Sheet'!G19),0)</f>
        <v>214838.45000000004</v>
      </c>
      <c r="I8" s="13" cm="1">
        <f t="array" ref="I8">IFERROR(SUM('Data Sheet'!H18,'Data Sheet'!H20:H22-1*'Data Sheet'!H19),0)</f>
        <v>204694.36</v>
      </c>
      <c r="J8" s="13" cm="1">
        <f t="array" ref="J8">IFERROR(SUM('Data Sheet'!I18,'Data Sheet'!I20:I22-1*'Data Sheet'!I19),0)</f>
        <v>226480.99</v>
      </c>
      <c r="K8" s="13" cm="1">
        <f t="array" ref="K8">IFERROR(SUM('Data Sheet'!J18,'Data Sheet'!J20:J22-1*'Data Sheet'!J19),0)</f>
        <v>264840.40000000002</v>
      </c>
      <c r="L8" s="13" cm="1">
        <f t="array" ref="L8">IFERROR(SUM('Data Sheet'!K18,'Data Sheet'!K20:K22-1*'Data Sheet'!K19),0)</f>
        <v>331420.73</v>
      </c>
      <c r="M8" s="13">
        <f>IFERROR(SUM('Data Sheet'!H43:K43),0)</f>
        <v>379563.77</v>
      </c>
    </row>
    <row r="9" spans="1:13">
      <c r="B9" s="11" t="s">
        <v>60</v>
      </c>
      <c r="C9" s="12">
        <f>C8/C5</f>
        <v>0.74554240938310368</v>
      </c>
      <c r="D9" s="12">
        <f t="shared" ref="D9:M9" si="1">D8/D5</f>
        <v>0.73250435092160449</v>
      </c>
      <c r="E9" s="12">
        <f t="shared" si="1"/>
        <v>0.70693249879279174</v>
      </c>
      <c r="F9" s="12">
        <f t="shared" si="1"/>
        <v>0.76946081515626386</v>
      </c>
      <c r="G9" s="12">
        <f t="shared" si="1"/>
        <v>0.81788898000386823</v>
      </c>
      <c r="H9" s="12">
        <f t="shared" si="1"/>
        <v>0.82292151733512175</v>
      </c>
      <c r="I9" s="12">
        <f t="shared" si="1"/>
        <v>0.81945020862127804</v>
      </c>
      <c r="J9" s="12">
        <f t="shared" si="1"/>
        <v>0.81335265097289811</v>
      </c>
      <c r="K9" s="12">
        <f t="shared" si="1"/>
        <v>0.76550775931008685</v>
      </c>
      <c r="L9" s="12">
        <f t="shared" si="1"/>
        <v>0.75679313508709434</v>
      </c>
      <c r="M9" s="12">
        <f t="shared" si="1"/>
        <v>0.86252508003774209</v>
      </c>
    </row>
    <row r="11" spans="1:13">
      <c r="B11" s="21" t="s">
        <v>61</v>
      </c>
      <c r="C11" s="22">
        <f>C5-C8</f>
        <v>66962.799999999988</v>
      </c>
      <c r="D11" s="22">
        <f t="shared" ref="D11:M11" si="2">D5-D8</f>
        <v>73038.509999999951</v>
      </c>
      <c r="E11" s="22">
        <f t="shared" si="2"/>
        <v>79038.110000000015</v>
      </c>
      <c r="F11" s="22">
        <f t="shared" si="2"/>
        <v>67213.81</v>
      </c>
      <c r="G11" s="22">
        <f t="shared" si="2"/>
        <v>54986.310000000027</v>
      </c>
      <c r="H11" s="22">
        <f t="shared" si="2"/>
        <v>46229.51999999996</v>
      </c>
      <c r="I11" s="22">
        <f t="shared" si="2"/>
        <v>45100.390000000014</v>
      </c>
      <c r="J11" s="22">
        <f t="shared" si="2"/>
        <v>51972.630000000005</v>
      </c>
      <c r="K11" s="22">
        <f t="shared" si="2"/>
        <v>81126.569999999949</v>
      </c>
      <c r="L11" s="22">
        <f t="shared" si="2"/>
        <v>106507.04000000004</v>
      </c>
      <c r="M11" s="22">
        <f t="shared" si="2"/>
        <v>60497.369999999995</v>
      </c>
    </row>
    <row r="12" spans="1:13">
      <c r="B12" s="12" t="s">
        <v>69</v>
      </c>
      <c r="C12" s="12">
        <f>IFERROR(C11/C5,0)</f>
        <v>0.25445759061689627</v>
      </c>
      <c r="D12" s="12">
        <f t="shared" ref="D12:M12" si="3">IFERROR(D11/D5,0)</f>
        <v>0.26749564907839551</v>
      </c>
      <c r="E12" s="12">
        <f t="shared" si="3"/>
        <v>0.2930675012072082</v>
      </c>
      <c r="F12" s="12">
        <f t="shared" si="3"/>
        <v>0.23053918484373614</v>
      </c>
      <c r="G12" s="12">
        <f t="shared" si="3"/>
        <v>0.18211101999613175</v>
      </c>
      <c r="H12" s="12">
        <f t="shared" si="3"/>
        <v>0.17707848266487827</v>
      </c>
      <c r="I12" s="12">
        <f t="shared" si="3"/>
        <v>0.18054979137872199</v>
      </c>
      <c r="J12" s="12">
        <f t="shared" si="3"/>
        <v>0.18664734902710192</v>
      </c>
      <c r="K12" s="12">
        <f t="shared" si="3"/>
        <v>0.23449224068991312</v>
      </c>
      <c r="L12" s="12">
        <f t="shared" si="3"/>
        <v>0.24320686491290569</v>
      </c>
      <c r="M12" s="12">
        <f t="shared" si="3"/>
        <v>0.13747491996225797</v>
      </c>
    </row>
    <row r="14" spans="1:13">
      <c r="B14" t="s">
        <v>62</v>
      </c>
      <c r="C14" s="13">
        <f>IFERROR(SUM('Data Sheet'!B23:B24),0)</f>
        <v>21063.449999999997</v>
      </c>
      <c r="D14" s="13">
        <f>IFERROR(SUM('Data Sheet'!C23:C24),0)</f>
        <v>29141.280000000002</v>
      </c>
      <c r="E14" s="13">
        <f>IFERROR(SUM('Data Sheet'!D23:D24),0)</f>
        <v>34649.58</v>
      </c>
      <c r="F14" s="13">
        <f>IFERROR(SUM('Data Sheet'!E23:E24),0)</f>
        <v>31662.97</v>
      </c>
      <c r="G14" s="13">
        <f>IFERROR(SUM('Data Sheet'!F23:F24),0)</f>
        <v>34428.54</v>
      </c>
      <c r="H14" s="13">
        <f>IFERROR(SUM('Data Sheet'!G23:G24),0)</f>
        <v>32704.83</v>
      </c>
      <c r="I14" s="13">
        <f>IFERROR(SUM('Data Sheet'!H23:H24),0)</f>
        <v>22181.280000000002</v>
      </c>
      <c r="J14" s="13">
        <f>IFERROR(SUM('Data Sheet'!I23:I24),0)</f>
        <v>30433.52</v>
      </c>
      <c r="K14" s="13">
        <f>IFERROR(SUM('Data Sheet'!J23:J24),0)</f>
        <v>39747.53</v>
      </c>
      <c r="L14" s="13">
        <f>IFERROR(SUM('Data Sheet'!K23:K24),0)</f>
        <v>43837.64</v>
      </c>
      <c r="M14" s="13"/>
    </row>
    <row r="15" spans="1:13">
      <c r="B15" s="11" t="s">
        <v>63</v>
      </c>
      <c r="C15" s="12">
        <f>C14/C5</f>
        <v>8.0040779911823637E-2</v>
      </c>
      <c r="D15" s="12">
        <f t="shared" ref="D15:M15" si="4">D14/D5</f>
        <v>0.10672678849247161</v>
      </c>
      <c r="E15" s="12">
        <f t="shared" si="4"/>
        <v>0.12847809529452636</v>
      </c>
      <c r="F15" s="12">
        <f t="shared" si="4"/>
        <v>0.10860201636437025</v>
      </c>
      <c r="G15" s="12">
        <f t="shared" si="4"/>
        <v>0.11402504616835751</v>
      </c>
      <c r="H15" s="12">
        <f t="shared" si="4"/>
        <v>0.12527323822987554</v>
      </c>
      <c r="I15" s="12">
        <f t="shared" si="4"/>
        <v>8.8798023177028354E-2</v>
      </c>
      <c r="J15" s="12">
        <f t="shared" si="4"/>
        <v>0.10929475436519734</v>
      </c>
      <c r="K15" s="12">
        <f t="shared" si="4"/>
        <v>0.11488822184383672</v>
      </c>
      <c r="L15" s="12">
        <f t="shared" si="4"/>
        <v>0.10010244383451636</v>
      </c>
      <c r="M15" s="12">
        <f t="shared" si="4"/>
        <v>0</v>
      </c>
    </row>
    <row r="17" spans="2:13">
      <c r="B17" s="21" t="s">
        <v>64</v>
      </c>
      <c r="C17" s="22">
        <f>C11-C14</f>
        <v>45899.349999999991</v>
      </c>
      <c r="D17" s="22">
        <f t="shared" ref="D17:L17" si="5">D11-D14</f>
        <v>43897.229999999952</v>
      </c>
      <c r="E17" s="22">
        <f t="shared" si="5"/>
        <v>44388.530000000013</v>
      </c>
      <c r="F17" s="22">
        <f t="shared" si="5"/>
        <v>35550.839999999997</v>
      </c>
      <c r="G17" s="22">
        <f t="shared" si="5"/>
        <v>20557.770000000026</v>
      </c>
      <c r="H17" s="22">
        <f t="shared" si="5"/>
        <v>13524.689999999959</v>
      </c>
      <c r="I17" s="22">
        <f t="shared" si="5"/>
        <v>22919.110000000011</v>
      </c>
      <c r="J17" s="22">
        <f t="shared" si="5"/>
        <v>21539.110000000004</v>
      </c>
      <c r="K17" s="22">
        <f t="shared" si="5"/>
        <v>41379.03999999995</v>
      </c>
      <c r="L17" s="22">
        <f t="shared" si="5"/>
        <v>62669.400000000038</v>
      </c>
      <c r="M17" s="22">
        <f>IFERROR(SUM('Data Sheet'!H51:K51),0)</f>
        <v>66638.81</v>
      </c>
    </row>
    <row r="18" spans="2:13">
      <c r="B18" s="11" t="s">
        <v>65</v>
      </c>
      <c r="C18" s="12">
        <f>C17/C5</f>
        <v>0.17441681070507264</v>
      </c>
      <c r="D18" s="12">
        <f t="shared" ref="D18:M18" si="6">D17/D5</f>
        <v>0.16076886058592396</v>
      </c>
      <c r="E18" s="12">
        <f t="shared" si="6"/>
        <v>0.16458940591268187</v>
      </c>
      <c r="F18" s="12">
        <f t="shared" si="6"/>
        <v>0.12193716847936591</v>
      </c>
      <c r="G18" s="12">
        <f t="shared" si="6"/>
        <v>6.8085973827774218E-2</v>
      </c>
      <c r="H18" s="12">
        <f t="shared" si="6"/>
        <v>5.1805244435002729E-2</v>
      </c>
      <c r="I18" s="12">
        <f t="shared" si="6"/>
        <v>9.1751768201693631E-2</v>
      </c>
      <c r="J18" s="12">
        <f t="shared" si="6"/>
        <v>7.735259466190457E-2</v>
      </c>
      <c r="K18" s="12">
        <f t="shared" si="6"/>
        <v>0.11960401884607641</v>
      </c>
      <c r="L18" s="12">
        <f t="shared" si="6"/>
        <v>0.14310442107838933</v>
      </c>
      <c r="M18" s="12">
        <f t="shared" si="6"/>
        <v>0.15143079891126038</v>
      </c>
    </row>
    <row r="20" spans="2:13">
      <c r="B20" t="s">
        <v>66</v>
      </c>
      <c r="C20" s="13">
        <f>IFERROR('Data Sheet'!B27,0)</f>
        <v>4861.49</v>
      </c>
      <c r="D20" s="13">
        <f>IFERROR('Data Sheet'!C27,0)</f>
        <v>4889.08</v>
      </c>
      <c r="E20" s="13">
        <f>IFERROR('Data Sheet'!D27,0)</f>
        <v>4238.01</v>
      </c>
      <c r="F20" s="13">
        <f>IFERROR('Data Sheet'!E27,0)</f>
        <v>4681.79</v>
      </c>
      <c r="G20" s="13">
        <f>IFERROR('Data Sheet'!F27,0)</f>
        <v>5758.6</v>
      </c>
      <c r="H20" s="13">
        <f>IFERROR('Data Sheet'!G27,0)</f>
        <v>7243.33</v>
      </c>
      <c r="I20" s="13">
        <f>IFERROR('Data Sheet'!H27,0)</f>
        <v>8097.17</v>
      </c>
      <c r="J20" s="13">
        <f>IFERROR('Data Sheet'!I27,0)</f>
        <v>9311.86</v>
      </c>
      <c r="K20" s="13">
        <f>IFERROR('Data Sheet'!J27,0)</f>
        <v>10225.48</v>
      </c>
      <c r="L20" s="13">
        <f>IFERROR('Data Sheet'!K27,0)</f>
        <v>9985.76</v>
      </c>
      <c r="M20" s="13">
        <f>IFERROR(SUM('Data Sheet'!H46:K46),0)</f>
        <v>8840.91</v>
      </c>
    </row>
    <row r="21" spans="2:13">
      <c r="B21" s="12" t="s">
        <v>67</v>
      </c>
      <c r="C21" s="12">
        <f>C20/C5</f>
        <v>1.8473585814932098E-2</v>
      </c>
      <c r="D21" s="12">
        <f t="shared" ref="D21:M21" si="7">D20/D5</f>
        <v>1.7905727101993223E-2</v>
      </c>
      <c r="E21" s="12">
        <f t="shared" si="7"/>
        <v>1.5714229512714312E-2</v>
      </c>
      <c r="F21" s="12">
        <f t="shared" si="7"/>
        <v>1.605824830060304E-2</v>
      </c>
      <c r="G21" s="12">
        <f t="shared" si="7"/>
        <v>1.9072102124141878E-2</v>
      </c>
      <c r="H21" s="12">
        <f t="shared" si="7"/>
        <v>2.7744996829752802E-2</v>
      </c>
      <c r="I21" s="12">
        <f t="shared" si="7"/>
        <v>3.2415292955516477E-2</v>
      </c>
      <c r="J21" s="12">
        <f t="shared" si="7"/>
        <v>3.3441332168710897E-2</v>
      </c>
      <c r="K21" s="12">
        <f t="shared" si="7"/>
        <v>2.9556231914277829E-2</v>
      </c>
      <c r="L21" s="12">
        <f t="shared" si="7"/>
        <v>2.2802299109736749E-2</v>
      </c>
      <c r="M21" s="12">
        <f t="shared" si="7"/>
        <v>2.0090185650112162E-2</v>
      </c>
    </row>
    <row r="23" spans="2:13">
      <c r="B23" t="s">
        <v>21</v>
      </c>
      <c r="C23" s="13">
        <f>IFERROR('Data Sheet'!B26,0)</f>
        <v>13388.63</v>
      </c>
      <c r="D23" s="13">
        <f>IFERROR('Data Sheet'!C26,0)</f>
        <v>16710.78</v>
      </c>
      <c r="E23" s="13">
        <f>IFERROR('Data Sheet'!D26,0)</f>
        <v>17904.990000000002</v>
      </c>
      <c r="F23" s="13">
        <f>IFERROR('Data Sheet'!E26,0)</f>
        <v>21553.59</v>
      </c>
      <c r="G23" s="13">
        <f>IFERROR('Data Sheet'!F26,0)</f>
        <v>23590.63</v>
      </c>
      <c r="H23" s="13">
        <f>IFERROR('Data Sheet'!G26,0)</f>
        <v>21425.43</v>
      </c>
      <c r="I23" s="13">
        <f>IFERROR('Data Sheet'!H26,0)</f>
        <v>23546.71</v>
      </c>
      <c r="J23" s="13">
        <f>IFERROR('Data Sheet'!I26,0)</f>
        <v>24835.69</v>
      </c>
      <c r="K23" s="13">
        <f>IFERROR('Data Sheet'!J26,0)</f>
        <v>24860.36</v>
      </c>
      <c r="L23" s="13">
        <f>IFERROR('Data Sheet'!K26,0)</f>
        <v>27270.13</v>
      </c>
      <c r="M23" s="13">
        <f>IFERROR(SUM('Data Sheet'!H45:K45),0)</f>
        <v>26580</v>
      </c>
    </row>
    <row r="24" spans="2:13">
      <c r="B24" s="12" t="s">
        <v>68</v>
      </c>
      <c r="C24" s="12">
        <f>C23/C5</f>
        <v>5.0876584184966822E-2</v>
      </c>
      <c r="D24" s="12">
        <f t="shared" ref="D24:M24" si="8">D23/D5</f>
        <v>6.1201425695927715E-2</v>
      </c>
      <c r="E24" s="12">
        <f t="shared" si="8"/>
        <v>6.63903865924938E-2</v>
      </c>
      <c r="F24" s="12">
        <f t="shared" si="8"/>
        <v>7.3927472182518786E-2</v>
      </c>
      <c r="G24" s="12">
        <f t="shared" si="8"/>
        <v>7.8130605447998658E-2</v>
      </c>
      <c r="H24" s="12">
        <f t="shared" si="8"/>
        <v>8.206839774331566E-2</v>
      </c>
      <c r="I24" s="12">
        <f t="shared" si="8"/>
        <v>9.4264230933596482E-2</v>
      </c>
      <c r="J24" s="12">
        <f t="shared" si="8"/>
        <v>8.9191478279219347E-2</v>
      </c>
      <c r="K24" s="12">
        <f t="shared" si="8"/>
        <v>7.1857611147098821E-2</v>
      </c>
      <c r="L24" s="12">
        <f t="shared" si="8"/>
        <v>6.2270839777984394E-2</v>
      </c>
      <c r="M24" s="12">
        <f t="shared" si="8"/>
        <v>6.0400697957561075E-2</v>
      </c>
    </row>
    <row r="26" spans="2:13">
      <c r="B26" s="21" t="s">
        <v>70</v>
      </c>
      <c r="C26" s="22">
        <f>IFERROR((C17-C20-C23),0)</f>
        <v>27649.229999999996</v>
      </c>
      <c r="D26" s="22">
        <f t="shared" ref="D26:M26" si="9">IFERROR((D17-D20-D23),0)</f>
        <v>22297.369999999952</v>
      </c>
      <c r="E26" s="22">
        <f t="shared" si="9"/>
        <v>22245.53000000001</v>
      </c>
      <c r="F26" s="22">
        <f t="shared" si="9"/>
        <v>9315.4599999999955</v>
      </c>
      <c r="G26" s="22">
        <f t="shared" si="9"/>
        <v>-8791.4599999999755</v>
      </c>
      <c r="H26" s="22">
        <f t="shared" si="9"/>
        <v>-15144.070000000042</v>
      </c>
      <c r="I26" s="22">
        <f t="shared" si="9"/>
        <v>-8724.7699999999877</v>
      </c>
      <c r="J26" s="22">
        <f t="shared" si="9"/>
        <v>-12608.439999999995</v>
      </c>
      <c r="K26" s="22">
        <f t="shared" si="9"/>
        <v>6293.1999999999498</v>
      </c>
      <c r="L26" s="22">
        <f t="shared" si="9"/>
        <v>25413.510000000035</v>
      </c>
      <c r="M26" s="22">
        <f t="shared" si="9"/>
        <v>31217.899999999994</v>
      </c>
    </row>
    <row r="27" spans="2:13">
      <c r="B27" s="12" t="s">
        <v>71</v>
      </c>
      <c r="C27" s="12">
        <f>C26/C5</f>
        <v>0.10506664070517373</v>
      </c>
      <c r="D27" s="12">
        <f t="shared" ref="D27:M27" si="10">D26/D5</f>
        <v>8.166170778800301E-2</v>
      </c>
      <c r="E27" s="12">
        <f t="shared" si="10"/>
        <v>8.2484789807473743E-2</v>
      </c>
      <c r="F27" s="12">
        <f t="shared" si="10"/>
        <v>3.1951447996244067E-2</v>
      </c>
      <c r="G27" s="12">
        <f t="shared" si="10"/>
        <v>-2.9116733744366317E-2</v>
      </c>
      <c r="H27" s="12">
        <f t="shared" si="10"/>
        <v>-5.8008150138065734E-2</v>
      </c>
      <c r="I27" s="12">
        <f t="shared" si="10"/>
        <v>-3.4927755687419321E-2</v>
      </c>
      <c r="J27" s="12">
        <f t="shared" si="10"/>
        <v>-4.5280215786025681E-2</v>
      </c>
      <c r="K27" s="12">
        <f t="shared" si="10"/>
        <v>1.8190175784699766E-2</v>
      </c>
      <c r="L27" s="12">
        <f t="shared" si="10"/>
        <v>5.8031282190668186E-2</v>
      </c>
      <c r="M27" s="12">
        <f t="shared" si="10"/>
        <v>7.093991530358712E-2</v>
      </c>
    </row>
    <row r="29" spans="2:13">
      <c r="B29" t="s">
        <v>24</v>
      </c>
      <c r="C29" s="13">
        <f>IFERROR('Data Sheet'!B29,0)</f>
        <v>7642.91</v>
      </c>
      <c r="D29" s="13">
        <f>IFERROR('Data Sheet'!C29,0)</f>
        <v>3025.05</v>
      </c>
      <c r="E29" s="13">
        <f>IFERROR('Data Sheet'!D29,0)</f>
        <v>3251.23</v>
      </c>
      <c r="F29" s="13">
        <f>IFERROR('Data Sheet'!E29,0)</f>
        <v>4341.93</v>
      </c>
      <c r="G29" s="13">
        <f>IFERROR('Data Sheet'!F29,0)</f>
        <v>-2437.4499999999998</v>
      </c>
      <c r="H29" s="13">
        <f>IFERROR('Data Sheet'!G29,0)</f>
        <v>395.25</v>
      </c>
      <c r="I29" s="13">
        <f>IFERROR('Data Sheet'!H29,0)</f>
        <v>2541.86</v>
      </c>
      <c r="J29" s="13">
        <f>IFERROR('Data Sheet'!I29,0)</f>
        <v>4231.29</v>
      </c>
      <c r="K29" s="13">
        <f>IFERROR('Data Sheet'!J29,0)</f>
        <v>704.06</v>
      </c>
      <c r="L29" s="13">
        <f>IFERROR('Data Sheet'!K29,0)</f>
        <v>-3851.64</v>
      </c>
      <c r="M29" s="13">
        <f>IFERROR(SUM('Data Sheet'!H48:K48),0)</f>
        <v>-2123.21</v>
      </c>
    </row>
    <row r="30" spans="2:13">
      <c r="B30" s="12" t="s">
        <v>72</v>
      </c>
      <c r="C30" s="12">
        <f>IFERROR(C29/C26,0)</f>
        <v>0.27642397274716152</v>
      </c>
      <c r="D30" s="12">
        <f t="shared" ref="D30:M30" si="11">IFERROR(D29/D26,0)</f>
        <v>0.13566846672948454</v>
      </c>
      <c r="E30" s="12">
        <f t="shared" si="11"/>
        <v>0.1461520584135329</v>
      </c>
      <c r="F30" s="12">
        <f t="shared" si="11"/>
        <v>0.46609936600017632</v>
      </c>
      <c r="G30" s="12">
        <f t="shared" si="11"/>
        <v>0.27725201502367147</v>
      </c>
      <c r="H30" s="12">
        <f t="shared" si="11"/>
        <v>-2.6099324686164216E-2</v>
      </c>
      <c r="I30" s="12">
        <f t="shared" si="11"/>
        <v>-0.29133833900492551</v>
      </c>
      <c r="J30" s="12">
        <f t="shared" si="11"/>
        <v>-0.33559187338005347</v>
      </c>
      <c r="K30" s="12">
        <f t="shared" si="11"/>
        <v>0.11187631093879195</v>
      </c>
      <c r="L30" s="12">
        <f t="shared" si="11"/>
        <v>-0.15155875752700018</v>
      </c>
      <c r="M30" s="12">
        <f t="shared" si="11"/>
        <v>-6.8012582524769452E-2</v>
      </c>
    </row>
    <row r="32" spans="2:13">
      <c r="B32" s="21" t="s">
        <v>73</v>
      </c>
      <c r="C32" s="22">
        <f>IFERROR(C26-C29,0)</f>
        <v>20006.319999999996</v>
      </c>
      <c r="D32" s="22">
        <f t="shared" ref="D32:M32" si="12">IFERROR(D26-D29,0)</f>
        <v>19272.319999999952</v>
      </c>
      <c r="E32" s="22">
        <f t="shared" si="12"/>
        <v>18994.30000000001</v>
      </c>
      <c r="F32" s="22">
        <f t="shared" si="12"/>
        <v>4973.5299999999952</v>
      </c>
      <c r="G32" s="22">
        <f t="shared" si="12"/>
        <v>-6354.0099999999757</v>
      </c>
      <c r="H32" s="22">
        <f t="shared" si="12"/>
        <v>-15539.320000000042</v>
      </c>
      <c r="I32" s="22">
        <f t="shared" si="12"/>
        <v>-11266.629999999988</v>
      </c>
      <c r="J32" s="22">
        <f t="shared" si="12"/>
        <v>-16839.729999999996</v>
      </c>
      <c r="K32" s="22">
        <f t="shared" si="12"/>
        <v>5589.1399999999503</v>
      </c>
      <c r="L32" s="22">
        <f t="shared" si="12"/>
        <v>29265.150000000034</v>
      </c>
      <c r="M32" s="22">
        <f t="shared" si="12"/>
        <v>33341.109999999993</v>
      </c>
    </row>
    <row r="33" spans="1:13">
      <c r="B33" s="12" t="s">
        <v>74</v>
      </c>
      <c r="C33" s="12">
        <f>C32/C5</f>
        <v>7.6023702478250965E-2</v>
      </c>
      <c r="D33" s="12">
        <f t="shared" ref="D33:M33" si="13">D32/D5</f>
        <v>7.0582789101893431E-2</v>
      </c>
      <c r="E33" s="12">
        <f t="shared" si="13"/>
        <v>7.0429467989303857E-2</v>
      </c>
      <c r="F33" s="12">
        <f t="shared" si="13"/>
        <v>1.7058898342407106E-2</v>
      </c>
      <c r="G33" s="12">
        <f t="shared" si="13"/>
        <v>-2.1044060642833026E-2</v>
      </c>
      <c r="H33" s="12">
        <f t="shared" si="13"/>
        <v>-5.9522123682962877E-2</v>
      </c>
      <c r="I33" s="12">
        <f t="shared" si="13"/>
        <v>-4.5103550014561906E-2</v>
      </c>
      <c r="J33" s="12">
        <f t="shared" si="13"/>
        <v>-6.0475888228711111E-2</v>
      </c>
      <c r="K33" s="12">
        <f t="shared" si="13"/>
        <v>1.6155126022579413E-2</v>
      </c>
      <c r="L33" s="12">
        <f t="shared" si="13"/>
        <v>6.6826431217184595E-2</v>
      </c>
      <c r="M33" s="12">
        <f t="shared" si="13"/>
        <v>7.5764722147472485E-2</v>
      </c>
    </row>
    <row r="35" spans="1:13">
      <c r="B35" t="s">
        <v>75</v>
      </c>
      <c r="C35" s="13">
        <f>IFERROR('Data Sheet'!B93,0)</f>
        <v>288.74</v>
      </c>
      <c r="D35" s="13">
        <f>IFERROR('Data Sheet'!C93,0)</f>
        <v>288.72000000000003</v>
      </c>
      <c r="E35" s="13">
        <f>IFERROR('Data Sheet'!D93,0)</f>
        <v>288.73</v>
      </c>
      <c r="F35" s="13">
        <f>IFERROR('Data Sheet'!E93,0)</f>
        <v>288.73</v>
      </c>
      <c r="G35" s="13">
        <f>IFERROR('Data Sheet'!F93,0)</f>
        <v>288.73</v>
      </c>
      <c r="H35" s="13">
        <f>IFERROR('Data Sheet'!G93,0)</f>
        <v>308.89999999999998</v>
      </c>
      <c r="I35" s="13">
        <f>IFERROR('Data Sheet'!H93,0)</f>
        <v>332.03</v>
      </c>
      <c r="J35" s="13">
        <f>IFERROR('Data Sheet'!I93,0)</f>
        <v>332.07</v>
      </c>
      <c r="K35" s="13">
        <f>IFERROR('Data Sheet'!J93,0)</f>
        <v>332.13</v>
      </c>
      <c r="L35" s="13">
        <f>IFERROR('Data Sheet'!K93,0)</f>
        <v>332.37</v>
      </c>
      <c r="M35" s="13">
        <f>IFERROR('Data Sheet'!L93,0)</f>
        <v>0</v>
      </c>
    </row>
    <row r="36" spans="1:13"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</row>
    <row r="37" spans="1:13">
      <c r="B37" t="s">
        <v>76</v>
      </c>
      <c r="C37" s="13">
        <f>IFERROR(C32/C35,0)</f>
        <v>69.288356306711904</v>
      </c>
      <c r="D37" s="13">
        <f t="shared" ref="D37:M37" si="14">IFERROR(D32/D35,0)</f>
        <v>66.75090052646145</v>
      </c>
      <c r="E37" s="13">
        <f t="shared" si="14"/>
        <v>65.785682125168876</v>
      </c>
      <c r="F37" s="13">
        <f t="shared" si="14"/>
        <v>17.225539431302582</v>
      </c>
      <c r="G37" s="13">
        <f t="shared" si="14"/>
        <v>-22.006753714542914</v>
      </c>
      <c r="H37" s="13">
        <f t="shared" si="14"/>
        <v>-50.305341534477314</v>
      </c>
      <c r="I37" s="13">
        <f t="shared" si="14"/>
        <v>-33.932566334367344</v>
      </c>
      <c r="J37" s="13">
        <f t="shared" si="14"/>
        <v>-50.711386153521836</v>
      </c>
      <c r="K37" s="13">
        <f t="shared" si="14"/>
        <v>16.828169692590102</v>
      </c>
      <c r="L37" s="13">
        <f t="shared" si="14"/>
        <v>88.049914252188927</v>
      </c>
      <c r="M37" s="13">
        <f t="shared" si="14"/>
        <v>0</v>
      </c>
    </row>
    <row r="38" spans="1:13">
      <c r="B38" s="12" t="s">
        <v>78</v>
      </c>
      <c r="C38" s="12"/>
      <c r="D38" s="12">
        <f>IFERROR(D37/C37-1,0)</f>
        <v>-3.6621676649654544E-2</v>
      </c>
      <c r="E38" s="12">
        <f t="shared" ref="E38:M38" si="15">IFERROR(E37/D37-1,0)</f>
        <v>-1.4460005688012312E-2</v>
      </c>
      <c r="F38" s="12">
        <f t="shared" si="15"/>
        <v>-0.73815671017094642</v>
      </c>
      <c r="G38" s="12">
        <f t="shared" si="15"/>
        <v>-2.2775654313937954</v>
      </c>
      <c r="H38" s="12">
        <f t="shared" si="15"/>
        <v>1.2859046903057583</v>
      </c>
      <c r="I38" s="12">
        <f t="shared" si="15"/>
        <v>-0.32546792648030642</v>
      </c>
      <c r="J38" s="12">
        <f t="shared" si="15"/>
        <v>0.49447541496914971</v>
      </c>
      <c r="K38" s="12">
        <f t="shared" si="15"/>
        <v>-1.3318420372427822</v>
      </c>
      <c r="L38" s="12">
        <f t="shared" si="15"/>
        <v>4.2322929861445173</v>
      </c>
      <c r="M38" s="12">
        <f t="shared" si="15"/>
        <v>-1</v>
      </c>
    </row>
    <row r="40" spans="1:13">
      <c r="B40" t="s">
        <v>77</v>
      </c>
      <c r="C40" s="13">
        <f>IFERROR('Data Sheet'!B31/'Historical FS'!C35,0)</f>
        <v>0</v>
      </c>
      <c r="D40" s="13">
        <f>IFERROR('Data Sheet'!C31/'Historical FS'!D35,0)</f>
        <v>0.23524522028262676</v>
      </c>
      <c r="E40" s="13">
        <f>IFERROR('Data Sheet'!D31/'Historical FS'!E35,0)</f>
        <v>0</v>
      </c>
      <c r="F40" s="13">
        <f>IFERROR('Data Sheet'!E31/'Historical FS'!F35,0)</f>
        <v>0</v>
      </c>
      <c r="G40" s="13">
        <f>IFERROR('Data Sheet'!F31/'Historical FS'!G35,0)</f>
        <v>0</v>
      </c>
      <c r="H40" s="13">
        <f>IFERROR('Data Sheet'!G31/'Historical FS'!H35,0)</f>
        <v>0</v>
      </c>
      <c r="I40" s="13">
        <f>IFERROR('Data Sheet'!H31/'Historical FS'!I35,0)</f>
        <v>0</v>
      </c>
      <c r="J40" s="13">
        <f>IFERROR('Data Sheet'!I31/'Historical FS'!J35,0)</f>
        <v>0</v>
      </c>
      <c r="K40" s="13">
        <f>IFERROR('Data Sheet'!J31/'Historical FS'!K35,0)</f>
        <v>2.3063860536536898</v>
      </c>
      <c r="L40" s="13">
        <f>IFERROR('Data Sheet'!K31/'Historical FS'!L35,0)</f>
        <v>6.9184944489574871</v>
      </c>
      <c r="M40" s="13">
        <f>IFERROR('Data Sheet'!L31/'Historical FS'!M35,0)</f>
        <v>0</v>
      </c>
    </row>
    <row r="41" spans="1:13">
      <c r="B41" s="12" t="s">
        <v>79</v>
      </c>
      <c r="C41" s="12">
        <f>IFERROR(C40/C37,0)</f>
        <v>0</v>
      </c>
      <c r="D41" s="12">
        <f t="shared" ref="D41:M41" si="16">IFERROR(D40/D37,0)</f>
        <v>3.5242254175937393E-3</v>
      </c>
      <c r="E41" s="12">
        <f t="shared" si="16"/>
        <v>0</v>
      </c>
      <c r="F41" s="12">
        <f t="shared" si="16"/>
        <v>0</v>
      </c>
      <c r="G41" s="12">
        <f t="shared" si="16"/>
        <v>0</v>
      </c>
      <c r="H41" s="12">
        <f t="shared" si="16"/>
        <v>0</v>
      </c>
      <c r="I41" s="12">
        <f t="shared" si="16"/>
        <v>0</v>
      </c>
      <c r="J41" s="12">
        <f t="shared" si="16"/>
        <v>0</v>
      </c>
      <c r="K41" s="12">
        <f t="shared" si="16"/>
        <v>0.13705507466265057</v>
      </c>
      <c r="L41" s="12">
        <f t="shared" si="16"/>
        <v>7.8574686957011919E-2</v>
      </c>
      <c r="M41" s="12">
        <f t="shared" si="16"/>
        <v>0</v>
      </c>
    </row>
    <row r="43" spans="1:13">
      <c r="B43" t="s">
        <v>80</v>
      </c>
      <c r="C43" s="14">
        <f>IFERROR(IF(C37&gt;C40,1-C41,0),0)</f>
        <v>1</v>
      </c>
      <c r="D43" s="14">
        <f t="shared" ref="D43:M43" si="17">IFERROR(IF(D37&gt;D40,1-D41,0),0)</f>
        <v>0.99647577458240622</v>
      </c>
      <c r="E43" s="14">
        <f t="shared" si="17"/>
        <v>1</v>
      </c>
      <c r="F43" s="14">
        <f t="shared" si="17"/>
        <v>1</v>
      </c>
      <c r="G43" s="14">
        <f t="shared" si="17"/>
        <v>0</v>
      </c>
      <c r="H43" s="14">
        <f t="shared" si="17"/>
        <v>0</v>
      </c>
      <c r="I43" s="14">
        <f t="shared" si="17"/>
        <v>0</v>
      </c>
      <c r="J43" s="14">
        <f t="shared" si="17"/>
        <v>0</v>
      </c>
      <c r="K43" s="14">
        <f t="shared" si="17"/>
        <v>0.86294492533734946</v>
      </c>
      <c r="L43" s="14">
        <f t="shared" si="17"/>
        <v>0.92142531304298814</v>
      </c>
      <c r="M43" s="14">
        <f t="shared" si="17"/>
        <v>0</v>
      </c>
    </row>
    <row r="46" spans="1:13">
      <c r="A46" s="16" t="s">
        <v>56</v>
      </c>
      <c r="B46" s="16" t="s">
        <v>81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</row>
    <row r="47" spans="1:13">
      <c r="B47" t="s">
        <v>31</v>
      </c>
      <c r="C47" s="13">
        <f>IFERROR('Data Sheet'!B57,0)</f>
        <v>643.78</v>
      </c>
      <c r="D47" s="13">
        <f>IFERROR('Data Sheet'!C57,0)</f>
        <v>679.18</v>
      </c>
      <c r="E47" s="13">
        <f>IFERROR('Data Sheet'!D57,0)</f>
        <v>679.22</v>
      </c>
      <c r="F47" s="13">
        <f>IFERROR('Data Sheet'!E57,0)</f>
        <v>679.22</v>
      </c>
      <c r="G47" s="13">
        <f>IFERROR('Data Sheet'!F57,0)</f>
        <v>679.22</v>
      </c>
      <c r="H47" s="13">
        <f>IFERROR('Data Sheet'!G57,0)</f>
        <v>719.54</v>
      </c>
      <c r="I47" s="13">
        <f>IFERROR('Data Sheet'!H57,0)</f>
        <v>765.81</v>
      </c>
      <c r="J47" s="13">
        <f>IFERROR('Data Sheet'!I57,0)</f>
        <v>765.88</v>
      </c>
      <c r="K47" s="13">
        <f>IFERROR('Data Sheet'!J57,0)</f>
        <v>766.02</v>
      </c>
      <c r="L47" s="13">
        <f>IFERROR('Data Sheet'!K57,0)</f>
        <v>766.5</v>
      </c>
    </row>
    <row r="48" spans="1:13">
      <c r="B48" t="s">
        <v>32</v>
      </c>
      <c r="C48" s="13">
        <f>IFERROR('Data Sheet'!B58,0)</f>
        <v>55618.14</v>
      </c>
      <c r="D48" s="13">
        <f>IFERROR('Data Sheet'!C58,0)</f>
        <v>78273.23</v>
      </c>
      <c r="E48" s="13">
        <f>IFERROR('Data Sheet'!D58,0)</f>
        <v>57382.67</v>
      </c>
      <c r="F48" s="13">
        <f>IFERROR('Data Sheet'!E58,0)</f>
        <v>94748.69</v>
      </c>
      <c r="G48" s="13">
        <f>IFERROR('Data Sheet'!F58,0)</f>
        <v>59500.34</v>
      </c>
      <c r="H48" s="13">
        <f>IFERROR('Data Sheet'!G58,0)</f>
        <v>62358.99</v>
      </c>
      <c r="I48" s="13">
        <f>IFERROR('Data Sheet'!H58,0)</f>
        <v>54480.91</v>
      </c>
      <c r="J48" s="13">
        <f>IFERROR('Data Sheet'!I58,0)</f>
        <v>43795.360000000001</v>
      </c>
      <c r="K48" s="13">
        <f>IFERROR('Data Sheet'!J58,0)</f>
        <v>44555.77</v>
      </c>
      <c r="L48" s="13">
        <f>IFERROR('Data Sheet'!K58,0)</f>
        <v>84151.52</v>
      </c>
    </row>
    <row r="49" spans="2:12">
      <c r="B49" t="s">
        <v>33</v>
      </c>
      <c r="C49" s="13">
        <f>IFERROR('Data Sheet'!B59,0)</f>
        <v>73610.39</v>
      </c>
      <c r="D49" s="13">
        <f>IFERROR('Data Sheet'!C59,0)</f>
        <v>69359.960000000006</v>
      </c>
      <c r="E49" s="13">
        <f>IFERROR('Data Sheet'!D59,0)</f>
        <v>78603.98</v>
      </c>
      <c r="F49" s="13">
        <f>IFERROR('Data Sheet'!E59,0)</f>
        <v>88950.47</v>
      </c>
      <c r="G49" s="13">
        <f>IFERROR('Data Sheet'!F59,0)</f>
        <v>106175.34</v>
      </c>
      <c r="H49" s="13">
        <f>IFERROR('Data Sheet'!G59,0)</f>
        <v>124787.64</v>
      </c>
      <c r="I49" s="13">
        <f>IFERROR('Data Sheet'!H59,0)</f>
        <v>142130.57</v>
      </c>
      <c r="J49" s="13">
        <f>IFERROR('Data Sheet'!I59,0)</f>
        <v>146449.03</v>
      </c>
      <c r="K49" s="13">
        <f>IFERROR('Data Sheet'!J59,0)</f>
        <v>134113.44</v>
      </c>
      <c r="L49" s="13">
        <f>IFERROR('Data Sheet'!K59,0)</f>
        <v>107262.5</v>
      </c>
    </row>
    <row r="50" spans="2:12">
      <c r="B50" t="s">
        <v>34</v>
      </c>
      <c r="C50" s="13">
        <f>IFERROR('Data Sheet'!B60,0)</f>
        <v>107442.48</v>
      </c>
      <c r="D50" s="13">
        <f>IFERROR('Data Sheet'!C60,0)</f>
        <v>114871.75</v>
      </c>
      <c r="E50" s="13">
        <f>IFERROR('Data Sheet'!D60,0)</f>
        <v>135914.49</v>
      </c>
      <c r="F50" s="13">
        <f>IFERROR('Data Sheet'!E60,0)</f>
        <v>142813.43</v>
      </c>
      <c r="G50" s="13">
        <f>IFERROR('Data Sheet'!F60,0)</f>
        <v>139348.59</v>
      </c>
      <c r="H50" s="13">
        <f>IFERROR('Data Sheet'!G60,0)</f>
        <v>132313.22</v>
      </c>
      <c r="I50" s="13">
        <f>IFERROR('Data Sheet'!H60,0)</f>
        <v>144192.62</v>
      </c>
      <c r="J50" s="13">
        <f>IFERROR('Data Sheet'!I60,0)</f>
        <v>138051.22</v>
      </c>
      <c r="K50" s="13">
        <f>IFERROR('Data Sheet'!J60,0)</f>
        <v>155239.20000000001</v>
      </c>
      <c r="L50" s="13">
        <f>IFERROR('Data Sheet'!K60,0)</f>
        <v>177340.09</v>
      </c>
    </row>
    <row r="51" spans="2:12">
      <c r="B51" s="21" t="s">
        <v>82</v>
      </c>
      <c r="C51" s="22">
        <f>IFERROR('Data Sheet'!B61,0)</f>
        <v>237314.79</v>
      </c>
      <c r="D51" s="22">
        <f>IFERROR('Data Sheet'!C61,0)</f>
        <v>263184.12</v>
      </c>
      <c r="E51" s="22">
        <f>IFERROR('Data Sheet'!D61,0)</f>
        <v>272580.36</v>
      </c>
      <c r="F51" s="22">
        <f>IFERROR('Data Sheet'!E61,0)</f>
        <v>327191.81</v>
      </c>
      <c r="G51" s="22">
        <f>IFERROR('Data Sheet'!F61,0)</f>
        <v>305703.49</v>
      </c>
      <c r="H51" s="22">
        <f>IFERROR('Data Sheet'!G61,0)</f>
        <v>320179.39</v>
      </c>
      <c r="I51" s="22">
        <f>IFERROR('Data Sheet'!H61,0)</f>
        <v>341569.91</v>
      </c>
      <c r="J51" s="22">
        <f>IFERROR('Data Sheet'!I61,0)</f>
        <v>329061.49</v>
      </c>
      <c r="K51" s="22">
        <f>IFERROR('Data Sheet'!J61,0)</f>
        <v>334674.43</v>
      </c>
      <c r="L51" s="22">
        <f>IFERROR('Data Sheet'!K61,0)</f>
        <v>369520.61</v>
      </c>
    </row>
    <row r="53" spans="2:12">
      <c r="B53" t="s">
        <v>83</v>
      </c>
      <c r="C53" s="13">
        <f>IFERROR('Data Sheet'!B62,0)</f>
        <v>88479.49</v>
      </c>
      <c r="D53" s="13">
        <f>IFERROR('Data Sheet'!C62,0)</f>
        <v>107231.76</v>
      </c>
      <c r="E53" s="13">
        <f>IFERROR('Data Sheet'!D62,0)</f>
        <v>95944.08</v>
      </c>
      <c r="F53" s="13">
        <f>IFERROR('Data Sheet'!E62,0)</f>
        <v>121413.86</v>
      </c>
      <c r="G53" s="13">
        <f>IFERROR('Data Sheet'!F62,0)</f>
        <v>111234.47</v>
      </c>
      <c r="H53" s="13">
        <f>IFERROR('Data Sheet'!G62,0)</f>
        <v>127107.14</v>
      </c>
      <c r="I53" s="13">
        <f>IFERROR('Data Sheet'!H62,0)</f>
        <v>138707.60999999999</v>
      </c>
      <c r="J53" s="13">
        <f>IFERROR('Data Sheet'!I62,0)</f>
        <v>138855.45000000001</v>
      </c>
      <c r="K53" s="13">
        <f>IFERROR('Data Sheet'!J62,0)</f>
        <v>132079.76</v>
      </c>
      <c r="L53" s="13">
        <f>IFERROR('Data Sheet'!K62,0)</f>
        <v>121285.46</v>
      </c>
    </row>
    <row r="54" spans="2:12">
      <c r="B54" t="s">
        <v>37</v>
      </c>
      <c r="C54" s="13">
        <f>IFERROR('Data Sheet'!B63,0)</f>
        <v>28640.09</v>
      </c>
      <c r="D54" s="13">
        <f>IFERROR('Data Sheet'!C63,0)</f>
        <v>25918.94</v>
      </c>
      <c r="E54" s="13">
        <f>IFERROR('Data Sheet'!D63,0)</f>
        <v>33698.839999999997</v>
      </c>
      <c r="F54" s="13">
        <f>IFERROR('Data Sheet'!E63,0)</f>
        <v>40033.5</v>
      </c>
      <c r="G54" s="13">
        <f>IFERROR('Data Sheet'!F63,0)</f>
        <v>31883.84</v>
      </c>
      <c r="H54" s="13">
        <f>IFERROR('Data Sheet'!G63,0)</f>
        <v>35622.29</v>
      </c>
      <c r="I54" s="13">
        <f>IFERROR('Data Sheet'!H63,0)</f>
        <v>20963.93</v>
      </c>
      <c r="J54" s="13">
        <f>IFERROR('Data Sheet'!I63,0)</f>
        <v>10251.09</v>
      </c>
      <c r="K54" s="13">
        <f>IFERROR('Data Sheet'!J63,0)</f>
        <v>14274.5</v>
      </c>
      <c r="L54" s="13">
        <f>IFERROR('Data Sheet'!K63,0)</f>
        <v>35698.43</v>
      </c>
    </row>
    <row r="55" spans="2:12">
      <c r="B55" t="s">
        <v>38</v>
      </c>
      <c r="C55" s="13">
        <f>IFERROR('Data Sheet'!B64,0)</f>
        <v>15336.74</v>
      </c>
      <c r="D55" s="13">
        <f>IFERROR('Data Sheet'!C64,0)</f>
        <v>23767.02</v>
      </c>
      <c r="E55" s="13">
        <f>IFERROR('Data Sheet'!D64,0)</f>
        <v>20337.919999999998</v>
      </c>
      <c r="F55" s="13">
        <f>IFERROR('Data Sheet'!E64,0)</f>
        <v>20812.75</v>
      </c>
      <c r="G55" s="13">
        <f>IFERROR('Data Sheet'!F64,0)</f>
        <v>15770.72</v>
      </c>
      <c r="H55" s="13">
        <f>IFERROR('Data Sheet'!G64,0)</f>
        <v>16308.48</v>
      </c>
      <c r="I55" s="13">
        <f>IFERROR('Data Sheet'!H64,0)</f>
        <v>24620.28</v>
      </c>
      <c r="J55" s="13">
        <f>IFERROR('Data Sheet'!I64,0)</f>
        <v>29379.53</v>
      </c>
      <c r="K55" s="13">
        <f>IFERROR('Data Sheet'!J64,0)</f>
        <v>26379.16</v>
      </c>
      <c r="L55" s="13">
        <f>IFERROR('Data Sheet'!K64,0)</f>
        <v>22971.07</v>
      </c>
    </row>
    <row r="56" spans="2:12">
      <c r="B56" t="s">
        <v>39</v>
      </c>
      <c r="C56" s="13">
        <f>IFERROR('Data Sheet'!B65-SUM('Data Sheet'!B67:B69),0)</f>
        <v>30891.17</v>
      </c>
      <c r="D56" s="13">
        <f>IFERROR('Data Sheet'!C65-SUM('Data Sheet'!C67:C69),0)</f>
        <v>29579.359999999986</v>
      </c>
      <c r="E56" s="13">
        <f>IFERROR('Data Sheet'!D65-SUM('Data Sheet'!D67:D69),0)</f>
        <v>37360.780000000013</v>
      </c>
      <c r="F56" s="13">
        <f>IFERROR('Data Sheet'!E65-SUM('Data Sheet'!E67:E69),0)</f>
        <v>48286.860000000015</v>
      </c>
      <c r="G56" s="13">
        <f>IFERROR('Data Sheet'!F65-SUM('Data Sheet'!F67:F69),0)</f>
        <v>56155.739999999991</v>
      </c>
      <c r="H56" s="13">
        <f>IFERROR('Data Sheet'!G65-SUM('Data Sheet'!G67:G69),0)</f>
        <v>58784.94</v>
      </c>
      <c r="I56" s="13">
        <f>IFERROR('Data Sheet'!H65-SUM('Data Sheet'!H67:H69),0)</f>
        <v>61717.959999999992</v>
      </c>
      <c r="J56" s="13">
        <f>IFERROR('Data Sheet'!I65-SUM('Data Sheet'!I67:I69),0)</f>
        <v>62223.770000000019</v>
      </c>
      <c r="K56" s="13">
        <f>IFERROR('Data Sheet'!J65-SUM('Data Sheet'!J67:J69),0)</f>
        <v>68432.090000000011</v>
      </c>
      <c r="L56" s="13">
        <f>IFERROR('Data Sheet'!K65-SUM('Data Sheet'!K67:K69),0)</f>
        <v>79018.859999999986</v>
      </c>
    </row>
    <row r="57" spans="2:12">
      <c r="B57" s="21" t="s">
        <v>84</v>
      </c>
      <c r="C57" s="22">
        <f>SUM(C53:C56)</f>
        <v>163347.49</v>
      </c>
      <c r="D57" s="22">
        <f t="shared" ref="D57:L57" si="18">SUM(D53:D56)</f>
        <v>186497.07999999996</v>
      </c>
      <c r="E57" s="22">
        <f t="shared" si="18"/>
        <v>187341.62</v>
      </c>
      <c r="F57" s="22">
        <f t="shared" si="18"/>
        <v>230546.97</v>
      </c>
      <c r="G57" s="22">
        <f t="shared" si="18"/>
        <v>215044.77</v>
      </c>
      <c r="H57" s="22">
        <f t="shared" si="18"/>
        <v>237822.85</v>
      </c>
      <c r="I57" s="22">
        <f t="shared" si="18"/>
        <v>246009.77999999997</v>
      </c>
      <c r="J57" s="22">
        <f t="shared" si="18"/>
        <v>240709.84000000003</v>
      </c>
      <c r="K57" s="22">
        <f t="shared" si="18"/>
        <v>241165.51</v>
      </c>
      <c r="L57" s="22">
        <f t="shared" si="18"/>
        <v>258973.82</v>
      </c>
    </row>
    <row r="58" spans="2:12"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2:12">
      <c r="B59" t="s">
        <v>40</v>
      </c>
      <c r="C59" s="13">
        <f>IFERROR('Data Sheet'!B67,0)</f>
        <v>12579.2</v>
      </c>
      <c r="D59" s="13">
        <f>IFERROR('Data Sheet'!C67,0)</f>
        <v>13570.91</v>
      </c>
      <c r="E59" s="13">
        <f>IFERROR('Data Sheet'!D67,0)</f>
        <v>14075.55</v>
      </c>
      <c r="F59" s="13">
        <f>IFERROR('Data Sheet'!E67,0)</f>
        <v>19893.3</v>
      </c>
      <c r="G59" s="13">
        <f>IFERROR('Data Sheet'!F67,0)</f>
        <v>18996.169999999998</v>
      </c>
      <c r="H59" s="13">
        <f>IFERROR('Data Sheet'!G67,0)</f>
        <v>11172.69</v>
      </c>
      <c r="I59" s="13">
        <f>IFERROR('Data Sheet'!H67,0)</f>
        <v>12679.08</v>
      </c>
      <c r="J59" s="13">
        <f>IFERROR('Data Sheet'!I67,0)</f>
        <v>12442.12</v>
      </c>
      <c r="K59" s="13">
        <f>IFERROR('Data Sheet'!J67,0)</f>
        <v>15737.97</v>
      </c>
      <c r="L59" s="13">
        <f>IFERROR('Data Sheet'!K67,0)</f>
        <v>16951.810000000001</v>
      </c>
    </row>
    <row r="60" spans="2:12">
      <c r="B60" t="s">
        <v>41</v>
      </c>
      <c r="C60" s="13">
        <f>IFERROR('Data Sheet'!B68,0)</f>
        <v>29272.34</v>
      </c>
      <c r="D60" s="13">
        <f>IFERROR('Data Sheet'!C68,0)</f>
        <v>32655.73</v>
      </c>
      <c r="E60" s="13">
        <f>IFERROR('Data Sheet'!D68,0)</f>
        <v>35085.31</v>
      </c>
      <c r="F60" s="13">
        <f>IFERROR('Data Sheet'!E68,0)</f>
        <v>42137.63</v>
      </c>
      <c r="G60" s="13">
        <f>IFERROR('Data Sheet'!F68,0)</f>
        <v>39013.730000000003</v>
      </c>
      <c r="H60" s="13">
        <f>IFERROR('Data Sheet'!G68,0)</f>
        <v>37456.879999999997</v>
      </c>
      <c r="I60" s="13">
        <f>IFERROR('Data Sheet'!H68,0)</f>
        <v>36088.589999999997</v>
      </c>
      <c r="J60" s="13">
        <f>IFERROR('Data Sheet'!I68,0)</f>
        <v>35240.339999999997</v>
      </c>
      <c r="K60" s="13">
        <f>IFERROR('Data Sheet'!J68,0)</f>
        <v>40755.39</v>
      </c>
      <c r="L60" s="13">
        <f>IFERROR('Data Sheet'!K68,0)</f>
        <v>47788.29</v>
      </c>
    </row>
    <row r="61" spans="2:12">
      <c r="B61" t="s">
        <v>42</v>
      </c>
      <c r="C61" s="13">
        <f>IFERROR('Data Sheet'!B69,0)</f>
        <v>32115.759999999998</v>
      </c>
      <c r="D61" s="13">
        <f>IFERROR('Data Sheet'!C69,0)</f>
        <v>30460.400000000001</v>
      </c>
      <c r="E61" s="13">
        <f>IFERROR('Data Sheet'!D69,0)</f>
        <v>36077.879999999997</v>
      </c>
      <c r="F61" s="13">
        <f>IFERROR('Data Sheet'!E69,0)</f>
        <v>34613.910000000003</v>
      </c>
      <c r="G61" s="13">
        <f>IFERROR('Data Sheet'!F69,0)</f>
        <v>32648.82</v>
      </c>
      <c r="H61" s="13">
        <f>IFERROR('Data Sheet'!G69,0)</f>
        <v>33726.97</v>
      </c>
      <c r="I61" s="13">
        <f>IFERROR('Data Sheet'!H69,0)</f>
        <v>46792.46</v>
      </c>
      <c r="J61" s="13">
        <f>IFERROR('Data Sheet'!I69,0)</f>
        <v>40669.19</v>
      </c>
      <c r="K61" s="13">
        <f>IFERROR('Data Sheet'!J69,0)</f>
        <v>37015.56</v>
      </c>
      <c r="L61" s="13">
        <f>IFERROR('Data Sheet'!K69,0)</f>
        <v>45806.69</v>
      </c>
    </row>
    <row r="62" spans="2:12">
      <c r="B62" s="21" t="s">
        <v>85</v>
      </c>
      <c r="C62" s="22">
        <f>SUM(C59:C61)</f>
        <v>73967.3</v>
      </c>
      <c r="D62" s="22">
        <f t="shared" ref="D62:L62" si="19">SUM(D59:D61)</f>
        <v>76687.040000000008</v>
      </c>
      <c r="E62" s="22">
        <f t="shared" si="19"/>
        <v>85238.739999999991</v>
      </c>
      <c r="F62" s="22">
        <f t="shared" si="19"/>
        <v>96644.84</v>
      </c>
      <c r="G62" s="22">
        <f t="shared" si="19"/>
        <v>90658.72</v>
      </c>
      <c r="H62" s="22">
        <f t="shared" si="19"/>
        <v>82356.540000000008</v>
      </c>
      <c r="I62" s="22">
        <f t="shared" si="19"/>
        <v>95560.13</v>
      </c>
      <c r="J62" s="22">
        <f t="shared" si="19"/>
        <v>88351.65</v>
      </c>
      <c r="K62" s="22">
        <f t="shared" si="19"/>
        <v>93508.92</v>
      </c>
      <c r="L62" s="22">
        <f t="shared" si="19"/>
        <v>110546.79000000001</v>
      </c>
    </row>
    <row r="64" spans="2:12">
      <c r="B64" s="21" t="s">
        <v>86</v>
      </c>
      <c r="C64" s="22">
        <f>C62+C57</f>
        <v>237314.78999999998</v>
      </c>
      <c r="D64" s="22">
        <f t="shared" ref="D64:L64" si="20">D62+D57</f>
        <v>263184.12</v>
      </c>
      <c r="E64" s="22">
        <f t="shared" si="20"/>
        <v>272580.36</v>
      </c>
      <c r="F64" s="22">
        <f t="shared" si="20"/>
        <v>327191.81</v>
      </c>
      <c r="G64" s="22">
        <f t="shared" si="20"/>
        <v>305703.49</v>
      </c>
      <c r="H64" s="22">
        <f t="shared" si="20"/>
        <v>320179.39</v>
      </c>
      <c r="I64" s="22">
        <f t="shared" si="20"/>
        <v>341569.91</v>
      </c>
      <c r="J64" s="22">
        <f t="shared" si="20"/>
        <v>329061.49</v>
      </c>
      <c r="K64" s="22">
        <f t="shared" si="20"/>
        <v>334674.43</v>
      </c>
      <c r="L64" s="22">
        <f t="shared" si="20"/>
        <v>369520.61</v>
      </c>
    </row>
    <row r="66" spans="1:13">
      <c r="B66" s="18" t="s">
        <v>87</v>
      </c>
      <c r="C66" t="b">
        <f>C64=C51</f>
        <v>1</v>
      </c>
      <c r="D66" t="b">
        <f t="shared" ref="D66:L66" si="21">D64=D51</f>
        <v>1</v>
      </c>
      <c r="E66" t="b">
        <f t="shared" si="21"/>
        <v>1</v>
      </c>
      <c r="F66" t="b">
        <f t="shared" si="21"/>
        <v>1</v>
      </c>
      <c r="G66" t="b">
        <f t="shared" si="21"/>
        <v>1</v>
      </c>
      <c r="H66" t="b">
        <f t="shared" si="21"/>
        <v>1</v>
      </c>
      <c r="I66" t="b">
        <f t="shared" si="21"/>
        <v>1</v>
      </c>
      <c r="J66" t="b">
        <f t="shared" si="21"/>
        <v>1</v>
      </c>
      <c r="K66" t="b">
        <f t="shared" si="21"/>
        <v>1</v>
      </c>
      <c r="L66" t="b">
        <f t="shared" si="21"/>
        <v>1</v>
      </c>
    </row>
    <row r="69" spans="1:13">
      <c r="A69" s="16" t="s">
        <v>56</v>
      </c>
      <c r="B69" s="16" t="s">
        <v>116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</row>
    <row r="70" spans="1:13">
      <c r="B70" s="10" t="s">
        <v>118</v>
      </c>
    </row>
    <row r="71" spans="1:13">
      <c r="B71" t="s">
        <v>89</v>
      </c>
      <c r="C71" s="13">
        <f>IFERROR('Cash Flow Data'!E4,0)</f>
        <v>43397</v>
      </c>
      <c r="D71" s="13">
        <f>IFERROR('Cash Flow Data'!F4,0)</f>
        <v>38626</v>
      </c>
      <c r="E71" s="13">
        <f>IFERROR('Cash Flow Data'!G4,0)</f>
        <v>28840</v>
      </c>
      <c r="F71" s="13">
        <f>IFERROR('Cash Flow Data'!H4,0)</f>
        <v>33312</v>
      </c>
      <c r="G71" s="13">
        <f>IFERROR('Cash Flow Data'!I4,0)</f>
        <v>28771</v>
      </c>
      <c r="H71" s="13">
        <f>IFERROR('Cash Flow Data'!J4,0)</f>
        <v>23352</v>
      </c>
      <c r="I71" s="13">
        <f>IFERROR('Cash Flow Data'!K4,0)</f>
        <v>31198</v>
      </c>
      <c r="J71" s="13">
        <f>IFERROR('Cash Flow Data'!L4,0)</f>
        <v>26943</v>
      </c>
      <c r="K71" s="13">
        <f>IFERROR('Cash Flow Data'!M4,0)</f>
        <v>41694</v>
      </c>
      <c r="L71" s="13">
        <f>IFERROR('Cash Flow Data'!N4,0)</f>
        <v>65106</v>
      </c>
    </row>
    <row r="72" spans="1:13">
      <c r="B72" t="s">
        <v>40</v>
      </c>
      <c r="C72" s="13">
        <f>IFERROR('Cash Flow Data'!E5,0)</f>
        <v>-3179</v>
      </c>
      <c r="D72" s="13">
        <f>IFERROR('Cash Flow Data'!F5,0)</f>
        <v>-2223</v>
      </c>
      <c r="E72" s="13">
        <f>IFERROR('Cash Flow Data'!G5,0)</f>
        <v>-4152</v>
      </c>
      <c r="F72" s="13">
        <f>IFERROR('Cash Flow Data'!H5,0)</f>
        <v>-10688</v>
      </c>
      <c r="G72" s="13">
        <f>IFERROR('Cash Flow Data'!I5,0)</f>
        <v>-9109</v>
      </c>
      <c r="H72" s="13">
        <f>IFERROR('Cash Flow Data'!J5,0)</f>
        <v>9950</v>
      </c>
      <c r="I72" s="13">
        <f>IFERROR('Cash Flow Data'!K5,0)</f>
        <v>-5505</v>
      </c>
      <c r="J72" s="13">
        <f>IFERROR('Cash Flow Data'!L5,0)</f>
        <v>185</v>
      </c>
      <c r="K72" s="13">
        <f>IFERROR('Cash Flow Data'!M5,0)</f>
        <v>-2213</v>
      </c>
      <c r="L72" s="13">
        <f>IFERROR('Cash Flow Data'!N5,0)</f>
        <v>-1875</v>
      </c>
    </row>
    <row r="73" spans="1:13">
      <c r="B73" t="s">
        <v>41</v>
      </c>
      <c r="C73" s="13">
        <f>IFERROR('Cash Flow Data'!E6,0)</f>
        <v>-3692</v>
      </c>
      <c r="D73" s="13">
        <f>IFERROR('Cash Flow Data'!F6,0)</f>
        <v>-5743</v>
      </c>
      <c r="E73" s="13">
        <f>IFERROR('Cash Flow Data'!G6,0)</f>
        <v>-6621</v>
      </c>
      <c r="F73" s="13">
        <f>IFERROR('Cash Flow Data'!H6,0)</f>
        <v>-3560</v>
      </c>
      <c r="G73" s="13">
        <f>IFERROR('Cash Flow Data'!I6,0)</f>
        <v>2069</v>
      </c>
      <c r="H73" s="13">
        <f>IFERROR('Cash Flow Data'!J6,0)</f>
        <v>2326</v>
      </c>
      <c r="I73" s="13">
        <f>IFERROR('Cash Flow Data'!K6,0)</f>
        <v>3814</v>
      </c>
      <c r="J73" s="13">
        <f>IFERROR('Cash Flow Data'!L6,0)</f>
        <v>472</v>
      </c>
      <c r="K73" s="13">
        <f>IFERROR('Cash Flow Data'!M6,0)</f>
        <v>-5665</v>
      </c>
      <c r="L73" s="13">
        <f>IFERROR('Cash Flow Data'!N6,0)</f>
        <v>-7265</v>
      </c>
    </row>
    <row r="74" spans="1:13">
      <c r="B74" t="s">
        <v>90</v>
      </c>
      <c r="C74" s="13">
        <f>IFERROR('Cash Flow Data'!E7,0)</f>
        <v>3598</v>
      </c>
      <c r="D74" s="13">
        <f>IFERROR('Cash Flow Data'!F7,0)</f>
        <v>3947</v>
      </c>
      <c r="E74" s="13">
        <f>IFERROR('Cash Flow Data'!G7,0)</f>
        <v>9301</v>
      </c>
      <c r="F74" s="13">
        <f>IFERROR('Cash Flow Data'!H7,0)</f>
        <v>7320</v>
      </c>
      <c r="G74" s="13">
        <f>IFERROR('Cash Flow Data'!I7,0)</f>
        <v>-4692</v>
      </c>
      <c r="H74" s="13">
        <f>IFERROR('Cash Flow Data'!J7,0)</f>
        <v>-8085</v>
      </c>
      <c r="I74" s="13">
        <f>IFERROR('Cash Flow Data'!K7,0)</f>
        <v>5748</v>
      </c>
      <c r="J74" s="13">
        <f>IFERROR('Cash Flow Data'!L7,0)</f>
        <v>-7012</v>
      </c>
      <c r="K74" s="13">
        <f>IFERROR('Cash Flow Data'!M7,0)</f>
        <v>6945</v>
      </c>
      <c r="L74" s="13">
        <f>IFERROR('Cash Flow Data'!N7,0)</f>
        <v>13706</v>
      </c>
    </row>
    <row r="75" spans="1:13">
      <c r="B75" t="s">
        <v>91</v>
      </c>
      <c r="C75" s="13">
        <f>IFERROR('Cash Flow Data'!E8,0)</f>
        <v>0</v>
      </c>
      <c r="D75" s="13">
        <f>IFERROR('Cash Flow Data'!F8,0)</f>
        <v>-520</v>
      </c>
      <c r="E75" s="13">
        <f>IFERROR('Cash Flow Data'!G8,0)</f>
        <v>0</v>
      </c>
      <c r="F75" s="13">
        <f>IFERROR('Cash Flow Data'!H8,0)</f>
        <v>0</v>
      </c>
      <c r="G75" s="13">
        <f>IFERROR('Cash Flow Data'!I8,0)</f>
        <v>0</v>
      </c>
      <c r="H75" s="13">
        <f>IFERROR('Cash Flow Data'!J8,0)</f>
        <v>0</v>
      </c>
      <c r="I75" s="13">
        <f>IFERROR('Cash Flow Data'!K8,0)</f>
        <v>0</v>
      </c>
      <c r="J75" s="13">
        <f>IFERROR('Cash Flow Data'!L8,0)</f>
        <v>0</v>
      </c>
      <c r="K75" s="13">
        <f>IFERROR('Cash Flow Data'!M8,0)</f>
        <v>0</v>
      </c>
      <c r="L75" s="13">
        <f>IFERROR('Cash Flow Data'!N8,0)</f>
        <v>0</v>
      </c>
    </row>
    <row r="76" spans="1:13">
      <c r="B76" t="s">
        <v>92</v>
      </c>
      <c r="C76" s="13">
        <f>IFERROR('Cash Flow Data'!E9,0)</f>
        <v>-398</v>
      </c>
      <c r="D76" s="13">
        <f>IFERROR('Cash Flow Data'!F9,0)</f>
        <v>5852</v>
      </c>
      <c r="E76" s="13">
        <f>IFERROR('Cash Flow Data'!G9,0)</f>
        <v>4727</v>
      </c>
      <c r="F76" s="13">
        <f>IFERROR('Cash Flow Data'!H9,0)</f>
        <v>494</v>
      </c>
      <c r="G76" s="13">
        <f>IFERROR('Cash Flow Data'!I9,0)</f>
        <v>4512</v>
      </c>
      <c r="H76" s="13">
        <f>IFERROR('Cash Flow Data'!J9,0)</f>
        <v>875</v>
      </c>
      <c r="I76" s="13">
        <f>IFERROR('Cash Flow Data'!K9,0)</f>
        <v>-4150</v>
      </c>
      <c r="J76" s="13">
        <f>IFERROR('Cash Flow Data'!L9,0)</f>
        <v>-4396</v>
      </c>
      <c r="K76" s="13">
        <f>IFERROR('Cash Flow Data'!M9,0)</f>
        <v>-2194</v>
      </c>
      <c r="L76" s="13">
        <f>IFERROR('Cash Flow Data'!N9,0)</f>
        <v>2760</v>
      </c>
    </row>
    <row r="77" spans="1:13">
      <c r="B77" t="s">
        <v>93</v>
      </c>
      <c r="C77" s="13">
        <f>IFERROR('Cash Flow Data'!E10,0)</f>
        <v>-3672</v>
      </c>
      <c r="D77" s="13">
        <f>IFERROR('Cash Flow Data'!F10,0)</f>
        <v>1313</v>
      </c>
      <c r="E77" s="13">
        <f>IFERROR('Cash Flow Data'!G10,0)</f>
        <v>3254</v>
      </c>
      <c r="F77" s="13">
        <f>IFERROR('Cash Flow Data'!H10,0)</f>
        <v>-6434</v>
      </c>
      <c r="G77" s="13">
        <f>IFERROR('Cash Flow Data'!I10,0)</f>
        <v>-7221</v>
      </c>
      <c r="H77" s="13">
        <f>IFERROR('Cash Flow Data'!J10,0)</f>
        <v>5065</v>
      </c>
      <c r="I77" s="13">
        <f>IFERROR('Cash Flow Data'!K10,0)</f>
        <v>-93</v>
      </c>
      <c r="J77" s="13">
        <f>IFERROR('Cash Flow Data'!L10,0)</f>
        <v>-10750</v>
      </c>
      <c r="K77" s="13">
        <f>IFERROR('Cash Flow Data'!M10,0)</f>
        <v>-3127</v>
      </c>
      <c r="L77" s="13">
        <f>IFERROR('Cash Flow Data'!N10,0)</f>
        <v>7325</v>
      </c>
    </row>
    <row r="78" spans="1:13">
      <c r="B78" t="s">
        <v>94</v>
      </c>
      <c r="C78" s="13">
        <f>IFERROR('Cash Flow Data'!E11,0)</f>
        <v>-4194</v>
      </c>
      <c r="D78" s="13">
        <f>IFERROR('Cash Flow Data'!F11,0)</f>
        <v>-2040</v>
      </c>
      <c r="E78" s="13">
        <f>IFERROR('Cash Flow Data'!G11,0)</f>
        <v>-1895</v>
      </c>
      <c r="F78" s="13">
        <f>IFERROR('Cash Flow Data'!H11,0)</f>
        <v>-3021</v>
      </c>
      <c r="G78" s="13">
        <f>IFERROR('Cash Flow Data'!I11,0)</f>
        <v>-2659</v>
      </c>
      <c r="H78" s="13">
        <f>IFERROR('Cash Flow Data'!J11,0)</f>
        <v>-1785</v>
      </c>
      <c r="I78" s="13">
        <f>IFERROR('Cash Flow Data'!K11,0)</f>
        <v>-2105</v>
      </c>
      <c r="J78" s="13">
        <f>IFERROR('Cash Flow Data'!L11,0)</f>
        <v>-1910</v>
      </c>
      <c r="K78" s="13">
        <f>IFERROR('Cash Flow Data'!M11,0)</f>
        <v>-3179</v>
      </c>
      <c r="L78" s="13">
        <f>IFERROR('Cash Flow Data'!N11,0)</f>
        <v>-4516</v>
      </c>
    </row>
    <row r="79" spans="1:13">
      <c r="B79" s="10" t="s">
        <v>117</v>
      </c>
      <c r="C79" s="17">
        <f>SUM(C71:C78)</f>
        <v>31860</v>
      </c>
      <c r="D79" s="17">
        <f t="shared" ref="D79:L79" si="22">SUM(D71:D78)</f>
        <v>39212</v>
      </c>
      <c r="E79" s="17">
        <f t="shared" si="22"/>
        <v>33454</v>
      </c>
      <c r="F79" s="17">
        <f t="shared" si="22"/>
        <v>17423</v>
      </c>
      <c r="G79" s="17">
        <f t="shared" si="22"/>
        <v>11671</v>
      </c>
      <c r="H79" s="17">
        <f t="shared" si="22"/>
        <v>31698</v>
      </c>
      <c r="I79" s="17">
        <f t="shared" si="22"/>
        <v>28907</v>
      </c>
      <c r="J79" s="17">
        <f t="shared" si="22"/>
        <v>3532</v>
      </c>
      <c r="K79" s="17">
        <f t="shared" si="22"/>
        <v>32261</v>
      </c>
      <c r="L79" s="17">
        <f t="shared" si="22"/>
        <v>75241</v>
      </c>
    </row>
    <row r="81" spans="2:12">
      <c r="B81" s="10" t="s">
        <v>119</v>
      </c>
    </row>
    <row r="82" spans="2:12">
      <c r="B82" s="18" t="s">
        <v>96</v>
      </c>
      <c r="C82" s="13">
        <f>IFERROR('Cash Flow Data'!E13,0)</f>
        <v>-31962</v>
      </c>
      <c r="D82" s="13">
        <f>IFERROR('Cash Flow Data'!F13,0)</f>
        <v>-31503</v>
      </c>
      <c r="E82" s="13">
        <f>IFERROR('Cash Flow Data'!G13,0)</f>
        <v>-16072</v>
      </c>
      <c r="F82" s="13">
        <f>IFERROR('Cash Flow Data'!H13,0)</f>
        <v>-35079</v>
      </c>
      <c r="G82" s="13">
        <f>IFERROR('Cash Flow Data'!I13,0)</f>
        <v>-35304</v>
      </c>
      <c r="H82" s="13">
        <f>IFERROR('Cash Flow Data'!J13,0)</f>
        <v>-29702</v>
      </c>
      <c r="I82" s="13">
        <f>IFERROR('Cash Flow Data'!K13,0)</f>
        <v>-20205</v>
      </c>
      <c r="J82" s="13">
        <f>IFERROR('Cash Flow Data'!L13,0)</f>
        <v>-15168</v>
      </c>
      <c r="K82" s="13">
        <f>IFERROR('Cash Flow Data'!M13,0)</f>
        <v>-19230</v>
      </c>
      <c r="L82" s="13">
        <f>IFERROR('Cash Flow Data'!N13,0)</f>
        <v>-31414</v>
      </c>
    </row>
    <row r="83" spans="2:12">
      <c r="B83" t="s">
        <v>97</v>
      </c>
      <c r="C83" s="13">
        <f>IFERROR('Cash Flow Data'!E14,0)</f>
        <v>74</v>
      </c>
      <c r="D83" s="13">
        <f>IFERROR('Cash Flow Data'!F14,0)</f>
        <v>59</v>
      </c>
      <c r="E83" s="13">
        <f>IFERROR('Cash Flow Data'!G14,0)</f>
        <v>53</v>
      </c>
      <c r="F83" s="13">
        <f>IFERROR('Cash Flow Data'!H14,0)</f>
        <v>30</v>
      </c>
      <c r="G83" s="13">
        <f>IFERROR('Cash Flow Data'!I14,0)</f>
        <v>67</v>
      </c>
      <c r="H83" s="13">
        <f>IFERROR('Cash Flow Data'!J14,0)</f>
        <v>171</v>
      </c>
      <c r="I83" s="13">
        <f>IFERROR('Cash Flow Data'!K14,0)</f>
        <v>351</v>
      </c>
      <c r="J83" s="13">
        <f>IFERROR('Cash Flow Data'!L14,0)</f>
        <v>230</v>
      </c>
      <c r="K83" s="13">
        <f>IFERROR('Cash Flow Data'!M14,0)</f>
        <v>285</v>
      </c>
      <c r="L83" s="13">
        <f>IFERROR('Cash Flow Data'!N14,0)</f>
        <v>231</v>
      </c>
    </row>
    <row r="84" spans="2:12">
      <c r="B84" t="s">
        <v>98</v>
      </c>
      <c r="C84" s="13">
        <f>IFERROR('Cash Flow Data'!E15,0)</f>
        <v>-5461</v>
      </c>
      <c r="D84" s="13">
        <f>IFERROR('Cash Flow Data'!F15,0)</f>
        <v>-4728</v>
      </c>
      <c r="E84" s="13">
        <f>IFERROR('Cash Flow Data'!G15,0)</f>
        <v>-6</v>
      </c>
      <c r="F84" s="13">
        <f>IFERROR('Cash Flow Data'!H15,0)</f>
        <v>-329</v>
      </c>
      <c r="G84" s="13">
        <f>IFERROR('Cash Flow Data'!I15,0)</f>
        <v>-130</v>
      </c>
      <c r="H84" s="13">
        <f>IFERROR('Cash Flow Data'!J15,0)</f>
        <v>-1439</v>
      </c>
      <c r="I84" s="13">
        <f>IFERROR('Cash Flow Data'!K15,0)</f>
        <v>-7530</v>
      </c>
      <c r="J84" s="13">
        <f>IFERROR('Cash Flow Data'!L15,0)</f>
        <v>-3008</v>
      </c>
      <c r="K84" s="13">
        <f>IFERROR('Cash Flow Data'!M15,0)</f>
        <v>-50</v>
      </c>
      <c r="L84" s="13">
        <f>IFERROR('Cash Flow Data'!N15,0)</f>
        <v>-74</v>
      </c>
    </row>
    <row r="85" spans="2:12">
      <c r="B85" t="s">
        <v>99</v>
      </c>
      <c r="C85" s="13">
        <f>IFERROR('Cash Flow Data'!E16,0)</f>
        <v>42</v>
      </c>
      <c r="D85" s="13">
        <f>IFERROR('Cash Flow Data'!F16,0)</f>
        <v>89</v>
      </c>
      <c r="E85" s="13">
        <f>IFERROR('Cash Flow Data'!G16,0)</f>
        <v>1965</v>
      </c>
      <c r="F85" s="13">
        <f>IFERROR('Cash Flow Data'!H16,0)</f>
        <v>2381</v>
      </c>
      <c r="G85" s="13">
        <f>IFERROR('Cash Flow Data'!I16,0)</f>
        <v>5644</v>
      </c>
      <c r="H85" s="13">
        <f>IFERROR('Cash Flow Data'!J16,0)</f>
        <v>21</v>
      </c>
      <c r="I85" s="13">
        <f>IFERROR('Cash Flow Data'!K16,0)</f>
        <v>226</v>
      </c>
      <c r="J85" s="13">
        <f>IFERROR('Cash Flow Data'!L16,0)</f>
        <v>104</v>
      </c>
      <c r="K85" s="13">
        <f>IFERROR('Cash Flow Data'!M16,0)</f>
        <v>6895</v>
      </c>
      <c r="L85" s="13">
        <f>IFERROR('Cash Flow Data'!N16,0)</f>
        <v>10820</v>
      </c>
    </row>
    <row r="86" spans="2:12">
      <c r="B86" t="s">
        <v>100</v>
      </c>
      <c r="C86" s="13">
        <f>IFERROR('Cash Flow Data'!E17,0)</f>
        <v>698</v>
      </c>
      <c r="D86" s="13">
        <f>IFERROR('Cash Flow Data'!F17,0)</f>
        <v>731</v>
      </c>
      <c r="E86" s="13">
        <f>IFERROR('Cash Flow Data'!G17,0)</f>
        <v>638</v>
      </c>
      <c r="F86" s="13">
        <f>IFERROR('Cash Flow Data'!H17,0)</f>
        <v>690</v>
      </c>
      <c r="G86" s="13">
        <f>IFERROR('Cash Flow Data'!I17,0)</f>
        <v>761</v>
      </c>
      <c r="H86" s="13">
        <f>IFERROR('Cash Flow Data'!J17,0)</f>
        <v>1104</v>
      </c>
      <c r="I86" s="13">
        <f>IFERROR('Cash Flow Data'!K17,0)</f>
        <v>428</v>
      </c>
      <c r="J86" s="13">
        <f>IFERROR('Cash Flow Data'!L17,0)</f>
        <v>653</v>
      </c>
      <c r="K86" s="13">
        <f>IFERROR('Cash Flow Data'!M17,0)</f>
        <v>973</v>
      </c>
      <c r="L86" s="13">
        <f>IFERROR('Cash Flow Data'!N17,0)</f>
        <v>2493</v>
      </c>
    </row>
    <row r="87" spans="2:12">
      <c r="B87" t="s">
        <v>101</v>
      </c>
      <c r="C87" s="13">
        <f>IFERROR('Cash Flow Data'!E18,0)</f>
        <v>80</v>
      </c>
      <c r="D87" s="13">
        <f>IFERROR('Cash Flow Data'!F18,0)</f>
        <v>58</v>
      </c>
      <c r="E87" s="13">
        <f>IFERROR('Cash Flow Data'!G18,0)</f>
        <v>620</v>
      </c>
      <c r="F87" s="13">
        <f>IFERROR('Cash Flow Data'!H18,0)</f>
        <v>1797</v>
      </c>
      <c r="G87" s="13">
        <f>IFERROR('Cash Flow Data'!I18,0)</f>
        <v>232</v>
      </c>
      <c r="H87" s="13">
        <f>IFERROR('Cash Flow Data'!J18,0)</f>
        <v>21</v>
      </c>
      <c r="I87" s="13">
        <f>IFERROR('Cash Flow Data'!K18,0)</f>
        <v>18</v>
      </c>
      <c r="J87" s="13">
        <f>IFERROR('Cash Flow Data'!L18,0)</f>
        <v>32</v>
      </c>
      <c r="K87" s="13">
        <f>IFERROR('Cash Flow Data'!M18,0)</f>
        <v>46</v>
      </c>
      <c r="L87" s="13">
        <f>IFERROR('Cash Flow Data'!N18,0)</f>
        <v>47</v>
      </c>
    </row>
    <row r="88" spans="2:12">
      <c r="B88" t="s">
        <v>102</v>
      </c>
      <c r="C88" s="13">
        <f>IFERROR('Cash Flow Data'!E19,0)</f>
        <v>-160</v>
      </c>
      <c r="D88" s="13">
        <f>IFERROR('Cash Flow Data'!F19,0)</f>
        <v>0</v>
      </c>
      <c r="E88" s="13">
        <f>IFERROR('Cash Flow Data'!G19,0)</f>
        <v>-107</v>
      </c>
      <c r="F88" s="13">
        <f>IFERROR('Cash Flow Data'!H19,0)</f>
        <v>-4</v>
      </c>
      <c r="G88" s="13">
        <f>IFERROR('Cash Flow Data'!I19,0)</f>
        <v>-9</v>
      </c>
      <c r="H88" s="13">
        <f>IFERROR('Cash Flow Data'!J19,0)</f>
        <v>-606</v>
      </c>
      <c r="I88" s="13">
        <f>IFERROR('Cash Flow Data'!K19,0)</f>
        <v>-10</v>
      </c>
      <c r="J88" s="13">
        <f>IFERROR('Cash Flow Data'!L19,0)</f>
        <v>0</v>
      </c>
      <c r="K88" s="13">
        <f>IFERROR('Cash Flow Data'!M19,0)</f>
        <v>0</v>
      </c>
      <c r="L88" s="13">
        <f>IFERROR('Cash Flow Data'!N19,0)</f>
        <v>-150</v>
      </c>
    </row>
    <row r="89" spans="2:12">
      <c r="B89" t="s">
        <v>103</v>
      </c>
      <c r="C89" s="13">
        <f>IFERROR('Cash Flow Data'!E20,0)</f>
        <v>0</v>
      </c>
      <c r="D89" s="13">
        <f>IFERROR('Cash Flow Data'!F20,0)</f>
        <v>0</v>
      </c>
      <c r="E89" s="13">
        <f>IFERROR('Cash Flow Data'!G20,0)</f>
        <v>0</v>
      </c>
      <c r="F89" s="13">
        <f>IFERROR('Cash Flow Data'!H20,0)</f>
        <v>14</v>
      </c>
      <c r="G89" s="13">
        <f>IFERROR('Cash Flow Data'!I20,0)</f>
        <v>533</v>
      </c>
      <c r="H89" s="13">
        <f>IFERROR('Cash Flow Data'!J20,0)</f>
        <v>0</v>
      </c>
      <c r="I89" s="13">
        <f>IFERROR('Cash Flow Data'!K20,0)</f>
        <v>0</v>
      </c>
      <c r="J89" s="13">
        <f>IFERROR('Cash Flow Data'!L20,0)</f>
        <v>0</v>
      </c>
      <c r="K89" s="13">
        <f>IFERROR('Cash Flow Data'!M20,0)</f>
        <v>19</v>
      </c>
      <c r="L89" s="13">
        <f>IFERROR('Cash Flow Data'!N20,0)</f>
        <v>108</v>
      </c>
    </row>
    <row r="90" spans="2:12">
      <c r="B90" t="s">
        <v>104</v>
      </c>
      <c r="C90" s="13">
        <f>IFERROR('Cash Flow Data'!E21,0)</f>
        <v>0</v>
      </c>
      <c r="D90" s="13">
        <f>IFERROR('Cash Flow Data'!F21,0)</f>
        <v>-111</v>
      </c>
      <c r="E90" s="13">
        <f>IFERROR('Cash Flow Data'!G21,0)</f>
        <v>0</v>
      </c>
      <c r="F90" s="13">
        <f>IFERROR('Cash Flow Data'!H21,0)</f>
        <v>0</v>
      </c>
      <c r="G90" s="13">
        <f>IFERROR('Cash Flow Data'!I21,0)</f>
        <v>-8</v>
      </c>
      <c r="H90" s="13">
        <f>IFERROR('Cash Flow Data'!J21,0)</f>
        <v>-27</v>
      </c>
      <c r="I90" s="13">
        <f>IFERROR('Cash Flow Data'!K21,0)</f>
        <v>0</v>
      </c>
      <c r="J90" s="13">
        <f>IFERROR('Cash Flow Data'!L21,0)</f>
        <v>-98</v>
      </c>
      <c r="K90" s="13">
        <f>IFERROR('Cash Flow Data'!M21,0)</f>
        <v>0</v>
      </c>
      <c r="L90" s="13">
        <f>IFERROR('Cash Flow Data'!N21,0)</f>
        <v>0</v>
      </c>
    </row>
    <row r="91" spans="2:12">
      <c r="B91" t="s">
        <v>105</v>
      </c>
      <c r="C91" s="13">
        <f>IFERROR('Cash Flow Data'!E22,0)</f>
        <v>0</v>
      </c>
      <c r="D91" s="13">
        <f>IFERROR('Cash Flow Data'!F22,0)</f>
        <v>0</v>
      </c>
      <c r="E91" s="13">
        <f>IFERROR('Cash Flow Data'!G22,0)</f>
        <v>0</v>
      </c>
      <c r="F91" s="13">
        <f>IFERROR('Cash Flow Data'!H22,0)</f>
        <v>0</v>
      </c>
      <c r="G91" s="13">
        <f>IFERROR('Cash Flow Data'!I22,0)</f>
        <v>0</v>
      </c>
      <c r="H91" s="13">
        <f>IFERROR('Cash Flow Data'!J22,0)</f>
        <v>0</v>
      </c>
      <c r="I91" s="13">
        <f>IFERROR('Cash Flow Data'!K22,0)</f>
        <v>0</v>
      </c>
      <c r="J91" s="13">
        <f>IFERROR('Cash Flow Data'!L22,0)</f>
        <v>0</v>
      </c>
      <c r="K91" s="13">
        <f>IFERROR('Cash Flow Data'!M22,0)</f>
        <v>0</v>
      </c>
      <c r="L91" s="13">
        <f>IFERROR('Cash Flow Data'!N22,0)</f>
        <v>-24</v>
      </c>
    </row>
    <row r="92" spans="2:12">
      <c r="B92" t="s">
        <v>106</v>
      </c>
      <c r="C92" s="13">
        <f>IFERROR('Cash Flow Data'!E23,0)</f>
        <v>456</v>
      </c>
      <c r="D92" s="13">
        <f>IFERROR('Cash Flow Data'!F23,0)</f>
        <v>-1289</v>
      </c>
      <c r="E92" s="13">
        <f>IFERROR('Cash Flow Data'!G23,0)</f>
        <v>-26663</v>
      </c>
      <c r="F92" s="13">
        <f>IFERROR('Cash Flow Data'!H23,0)</f>
        <v>5360</v>
      </c>
      <c r="G92" s="13">
        <f>IFERROR('Cash Flow Data'!I23,0)</f>
        <v>7335</v>
      </c>
      <c r="H92" s="13">
        <f>IFERROR('Cash Flow Data'!J23,0)</f>
        <v>-2659</v>
      </c>
      <c r="I92" s="13">
        <f>IFERROR('Cash Flow Data'!K23,0)</f>
        <v>1051</v>
      </c>
      <c r="J92" s="13">
        <f>IFERROR('Cash Flow Data'!L23,0)</f>
        <v>12813</v>
      </c>
      <c r="K92" s="13">
        <f>IFERROR('Cash Flow Data'!M23,0)</f>
        <v>-4357</v>
      </c>
      <c r="L92" s="13">
        <f>IFERROR('Cash Flow Data'!N23,0)</f>
        <v>-4817</v>
      </c>
    </row>
    <row r="93" spans="2:12">
      <c r="B93" s="10" t="s">
        <v>120</v>
      </c>
      <c r="C93" s="17">
        <f>SUM(C82:C92)</f>
        <v>-36233</v>
      </c>
      <c r="D93" s="17">
        <f t="shared" ref="D93:L93" si="23">SUM(D82:D92)</f>
        <v>-36694</v>
      </c>
      <c r="E93" s="17">
        <f t="shared" si="23"/>
        <v>-39572</v>
      </c>
      <c r="F93" s="17">
        <f t="shared" si="23"/>
        <v>-25140</v>
      </c>
      <c r="G93" s="17">
        <f t="shared" si="23"/>
        <v>-20879</v>
      </c>
      <c r="H93" s="17">
        <f t="shared" si="23"/>
        <v>-33116</v>
      </c>
      <c r="I93" s="17">
        <f t="shared" si="23"/>
        <v>-25671</v>
      </c>
      <c r="J93" s="17">
        <f t="shared" si="23"/>
        <v>-4442</v>
      </c>
      <c r="K93" s="17">
        <f t="shared" si="23"/>
        <v>-15419</v>
      </c>
      <c r="L93" s="17">
        <f t="shared" si="23"/>
        <v>-22780</v>
      </c>
    </row>
    <row r="95" spans="2:12">
      <c r="B95" s="10" t="s">
        <v>121</v>
      </c>
    </row>
    <row r="96" spans="2:12">
      <c r="B96" t="s">
        <v>108</v>
      </c>
      <c r="C96" s="13">
        <f>IFERROR('Cash Flow Data'!E25,0)</f>
        <v>0</v>
      </c>
      <c r="D96" s="13">
        <f>IFERROR('Cash Flow Data'!F25,0)</f>
        <v>7433</v>
      </c>
      <c r="E96" s="13">
        <f>IFERROR('Cash Flow Data'!G25,0)</f>
        <v>5</v>
      </c>
      <c r="F96" s="13">
        <f>IFERROR('Cash Flow Data'!H25,0)</f>
        <v>0</v>
      </c>
      <c r="G96" s="13">
        <f>IFERROR('Cash Flow Data'!I25,0)</f>
        <v>0</v>
      </c>
      <c r="H96" s="13">
        <f>IFERROR('Cash Flow Data'!J25,0)</f>
        <v>3889</v>
      </c>
      <c r="I96" s="13">
        <f>IFERROR('Cash Flow Data'!K25,0)</f>
        <v>2603</v>
      </c>
      <c r="J96" s="13">
        <f>IFERROR('Cash Flow Data'!L25,0)</f>
        <v>19</v>
      </c>
      <c r="K96" s="13">
        <f>IFERROR('Cash Flow Data'!M25,0)</f>
        <v>20</v>
      </c>
      <c r="L96" s="13">
        <f>IFERROR('Cash Flow Data'!N25,0)</f>
        <v>82</v>
      </c>
    </row>
    <row r="97" spans="2:12">
      <c r="B97" t="s">
        <v>109</v>
      </c>
      <c r="C97" s="13">
        <f>IFERROR('Cash Flow Data'!E26,0)</f>
        <v>-744</v>
      </c>
      <c r="D97" s="13">
        <f>IFERROR('Cash Flow Data'!F26,0)</f>
        <v>0</v>
      </c>
      <c r="E97" s="13">
        <f>IFERROR('Cash Flow Data'!G26,0)</f>
        <v>0</v>
      </c>
      <c r="F97" s="13">
        <f>IFERROR('Cash Flow Data'!H26,0)</f>
        <v>0</v>
      </c>
      <c r="G97" s="13">
        <f>IFERROR('Cash Flow Data'!I26,0)</f>
        <v>0</v>
      </c>
      <c r="H97" s="13">
        <f>IFERROR('Cash Flow Data'!J26,0)</f>
        <v>0</v>
      </c>
      <c r="I97" s="13">
        <f>IFERROR('Cash Flow Data'!K26,0)</f>
        <v>0</v>
      </c>
      <c r="J97" s="13">
        <f>IFERROR('Cash Flow Data'!L26,0)</f>
        <v>0</v>
      </c>
      <c r="K97" s="13">
        <f>IFERROR('Cash Flow Data'!M26,0)</f>
        <v>0</v>
      </c>
      <c r="L97" s="13">
        <f>IFERROR('Cash Flow Data'!N26,0)</f>
        <v>0</v>
      </c>
    </row>
    <row r="98" spans="2:12">
      <c r="B98" t="s">
        <v>110</v>
      </c>
      <c r="C98" s="13">
        <f>IFERROR('Cash Flow Data'!E27,0)</f>
        <v>36363</v>
      </c>
      <c r="D98" s="13">
        <f>IFERROR('Cash Flow Data'!F27,0)</f>
        <v>19519</v>
      </c>
      <c r="E98" s="13">
        <f>IFERROR('Cash Flow Data'!G27,0)</f>
        <v>33390</v>
      </c>
      <c r="F98" s="13">
        <f>IFERROR('Cash Flow Data'!H27,0)</f>
        <v>37482</v>
      </c>
      <c r="G98" s="13">
        <f>IFERROR('Cash Flow Data'!I27,0)</f>
        <v>51128</v>
      </c>
      <c r="H98" s="13">
        <f>IFERROR('Cash Flow Data'!J27,0)</f>
        <v>38297</v>
      </c>
      <c r="I98" s="13">
        <f>IFERROR('Cash Flow Data'!K27,0)</f>
        <v>46641</v>
      </c>
      <c r="J98" s="13">
        <f>IFERROR('Cash Flow Data'!L27,0)</f>
        <v>46578</v>
      </c>
      <c r="K98" s="13">
        <f>IFERROR('Cash Flow Data'!M27,0)</f>
        <v>43934</v>
      </c>
      <c r="L98" s="13">
        <f>IFERROR('Cash Flow Data'!N27,0)</f>
        <v>18747</v>
      </c>
    </row>
    <row r="99" spans="2:12">
      <c r="B99" t="s">
        <v>111</v>
      </c>
      <c r="C99" s="13">
        <f>IFERROR('Cash Flow Data'!E28,0)</f>
        <v>-23332</v>
      </c>
      <c r="D99" s="13">
        <f>IFERROR('Cash Flow Data'!F28,0)</f>
        <v>-24924</v>
      </c>
      <c r="E99" s="13">
        <f>IFERROR('Cash Flow Data'!G28,0)</f>
        <v>-21732</v>
      </c>
      <c r="F99" s="13">
        <f>IFERROR('Cash Flow Data'!H28,0)</f>
        <v>-29964</v>
      </c>
      <c r="G99" s="13">
        <f>IFERROR('Cash Flow Data'!I28,0)</f>
        <v>-35198</v>
      </c>
      <c r="H99" s="13">
        <f>IFERROR('Cash Flow Data'!J28,0)</f>
        <v>-29847</v>
      </c>
      <c r="I99" s="13">
        <f>IFERROR('Cash Flow Data'!K28,0)</f>
        <v>-29709</v>
      </c>
      <c r="J99" s="13">
        <f>IFERROR('Cash Flow Data'!L28,0)</f>
        <v>-42816</v>
      </c>
      <c r="K99" s="13">
        <f>IFERROR('Cash Flow Data'!M28,0)</f>
        <v>-62557</v>
      </c>
      <c r="L99" s="13">
        <f>IFERROR('Cash Flow Data'!N28,0)</f>
        <v>-47332</v>
      </c>
    </row>
    <row r="100" spans="2:12">
      <c r="B100" t="s">
        <v>112</v>
      </c>
      <c r="C100" s="13">
        <f>IFERROR('Cash Flow Data'!E29,0)</f>
        <v>-6307</v>
      </c>
      <c r="D100" s="13">
        <f>IFERROR('Cash Flow Data'!F29,0)</f>
        <v>-5716</v>
      </c>
      <c r="E100" s="13">
        <f>IFERROR('Cash Flow Data'!G29,0)</f>
        <v>-5336</v>
      </c>
      <c r="F100" s="13">
        <f>IFERROR('Cash Flow Data'!H29,0)</f>
        <v>-5411</v>
      </c>
      <c r="G100" s="13">
        <f>IFERROR('Cash Flow Data'!I29,0)</f>
        <v>-7005</v>
      </c>
      <c r="H100" s="13">
        <f>IFERROR('Cash Flow Data'!J29,0)</f>
        <v>-7518</v>
      </c>
      <c r="I100" s="13">
        <f>IFERROR('Cash Flow Data'!K29,0)</f>
        <v>-8123</v>
      </c>
      <c r="J100" s="13">
        <f>IFERROR('Cash Flow Data'!L29,0)</f>
        <v>-9251</v>
      </c>
      <c r="K100" s="13">
        <f>IFERROR('Cash Flow Data'!M29,0)</f>
        <v>-9336</v>
      </c>
      <c r="L100" s="13">
        <f>IFERROR('Cash Flow Data'!N29,0)</f>
        <v>-9332</v>
      </c>
    </row>
    <row r="101" spans="2:12">
      <c r="B101" t="s">
        <v>113</v>
      </c>
      <c r="C101" s="13">
        <f>IFERROR('Cash Flow Data'!E30,0)</f>
        <v>-720</v>
      </c>
      <c r="D101" s="13">
        <f>IFERROR('Cash Flow Data'!F30,0)</f>
        <v>-108</v>
      </c>
      <c r="E101" s="13">
        <f>IFERROR('Cash Flow Data'!G30,0)</f>
        <v>-121</v>
      </c>
      <c r="F101" s="13">
        <f>IFERROR('Cash Flow Data'!H30,0)</f>
        <v>-96</v>
      </c>
      <c r="G101" s="13">
        <f>IFERROR('Cash Flow Data'!I30,0)</f>
        <v>-95</v>
      </c>
      <c r="H101" s="13">
        <f>IFERROR('Cash Flow Data'!J30,0)</f>
        <v>-57</v>
      </c>
      <c r="I101" s="13">
        <f>IFERROR('Cash Flow Data'!K30,0)</f>
        <v>-30</v>
      </c>
      <c r="J101" s="13">
        <f>IFERROR('Cash Flow Data'!L30,0)</f>
        <v>-100</v>
      </c>
      <c r="K101" s="13">
        <f>IFERROR('Cash Flow Data'!M30,0)</f>
        <v>-141</v>
      </c>
      <c r="L101" s="13">
        <f>IFERROR('Cash Flow Data'!N30,0)</f>
        <v>-1059</v>
      </c>
    </row>
    <row r="102" spans="2:12">
      <c r="B102" t="s">
        <v>114</v>
      </c>
      <c r="C102" s="13">
        <f>IFERROR('Cash Flow Data'!E31,0)</f>
        <v>0</v>
      </c>
      <c r="D102" s="13">
        <f>IFERROR('Cash Flow Data'!F31,0)</f>
        <v>0</v>
      </c>
      <c r="E102" s="13">
        <f>IFERROR('Cash Flow Data'!G31,0)</f>
        <v>0</v>
      </c>
      <c r="F102" s="13">
        <f>IFERROR('Cash Flow Data'!H31,0)</f>
        <v>0</v>
      </c>
      <c r="G102" s="13">
        <f>IFERROR('Cash Flow Data'!I31,0)</f>
        <v>0</v>
      </c>
      <c r="H102" s="13">
        <f>IFERROR('Cash Flow Data'!J31,0)</f>
        <v>-1346</v>
      </c>
      <c r="I102" s="13">
        <f>IFERROR('Cash Flow Data'!K31,0)</f>
        <v>-1477</v>
      </c>
      <c r="J102" s="13">
        <f>IFERROR('Cash Flow Data'!L31,0)</f>
        <v>-1559</v>
      </c>
      <c r="K102" s="13">
        <f>IFERROR('Cash Flow Data'!M31,0)</f>
        <v>-1517</v>
      </c>
      <c r="L102" s="13">
        <f>IFERROR('Cash Flow Data'!N31,0)</f>
        <v>-1924</v>
      </c>
    </row>
    <row r="103" spans="2:12">
      <c r="B103" t="s">
        <v>115</v>
      </c>
      <c r="C103" s="13">
        <f>IFERROR('Cash Flow Data'!E32,0)</f>
        <v>-57</v>
      </c>
      <c r="D103" s="13">
        <f>IFERROR('Cash Flow Data'!F32,0)</f>
        <v>0</v>
      </c>
      <c r="E103" s="13">
        <f>IFERROR('Cash Flow Data'!G32,0)</f>
        <v>0</v>
      </c>
      <c r="F103" s="13">
        <f>IFERROR('Cash Flow Data'!H32,0)</f>
        <v>0</v>
      </c>
      <c r="G103" s="13">
        <f>IFERROR('Cash Flow Data'!I32,0)</f>
        <v>0</v>
      </c>
      <c r="H103" s="13">
        <f>IFERROR('Cash Flow Data'!J32,0)</f>
        <v>-29</v>
      </c>
      <c r="I103" s="13">
        <f>IFERROR('Cash Flow Data'!K32,0)</f>
        <v>0</v>
      </c>
      <c r="J103" s="13">
        <f>IFERROR('Cash Flow Data'!L32,0)</f>
        <v>3750</v>
      </c>
      <c r="K103" s="13">
        <f>IFERROR('Cash Flow Data'!M32,0)</f>
        <v>3355</v>
      </c>
      <c r="L103" s="13">
        <f>IFERROR('Cash Flow Data'!N32,0)</f>
        <v>3812</v>
      </c>
    </row>
    <row r="104" spans="2:12">
      <c r="B104" s="10" t="s">
        <v>122</v>
      </c>
      <c r="C104" s="17">
        <f>SUM(C96:C103)</f>
        <v>5203</v>
      </c>
      <c r="D104" s="17">
        <f t="shared" ref="D104:L104" si="24">SUM(D96:D103)</f>
        <v>-3796</v>
      </c>
      <c r="E104" s="17">
        <f t="shared" si="24"/>
        <v>6206</v>
      </c>
      <c r="F104" s="17">
        <f t="shared" si="24"/>
        <v>2011</v>
      </c>
      <c r="G104" s="17">
        <f t="shared" si="24"/>
        <v>8830</v>
      </c>
      <c r="H104" s="17">
        <f t="shared" si="24"/>
        <v>3389</v>
      </c>
      <c r="I104" s="17">
        <f t="shared" si="24"/>
        <v>9905</v>
      </c>
      <c r="J104" s="17">
        <f t="shared" si="24"/>
        <v>-3379</v>
      </c>
      <c r="K104" s="17">
        <f t="shared" si="24"/>
        <v>-26242</v>
      </c>
      <c r="L104" s="17">
        <f t="shared" si="24"/>
        <v>-37006</v>
      </c>
    </row>
    <row r="106" spans="2:12">
      <c r="B106" s="10" t="s">
        <v>50</v>
      </c>
      <c r="C106" s="17">
        <f>IFERROR(C104+C93+C79,0)</f>
        <v>830</v>
      </c>
      <c r="D106" s="17">
        <f t="shared" ref="D106:L106" si="25">IFERROR(D104+D93+D79,0)</f>
        <v>-1278</v>
      </c>
      <c r="E106" s="17">
        <f t="shared" si="25"/>
        <v>88</v>
      </c>
      <c r="F106" s="17">
        <f t="shared" si="25"/>
        <v>-5706</v>
      </c>
      <c r="G106" s="17">
        <f t="shared" si="25"/>
        <v>-378</v>
      </c>
      <c r="H106" s="17">
        <f t="shared" si="25"/>
        <v>1971</v>
      </c>
      <c r="I106" s="17">
        <f t="shared" si="25"/>
        <v>13141</v>
      </c>
      <c r="J106" s="17">
        <f t="shared" si="25"/>
        <v>-4289</v>
      </c>
      <c r="K106" s="17">
        <f t="shared" si="25"/>
        <v>-9400</v>
      </c>
      <c r="L106" s="17">
        <f t="shared" si="25"/>
        <v>15455</v>
      </c>
    </row>
  </sheetData>
  <mergeCells count="1">
    <mergeCell ref="B2:M2"/>
  </mergeCells>
  <pageMargins left="0.7" right="0.7" top="0.75" bottom="0.75" header="0.3" footer="0.3"/>
  <ignoredErrors>
    <ignoredError sqref="C14:L14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50B18-99C1-AB4B-B14A-3E6B67F29B0A}">
  <dimension ref="B2:O20"/>
  <sheetViews>
    <sheetView showGridLines="0" zoomScale="175" zoomScaleNormal="164" workbookViewId="0">
      <selection activeCell="N21" sqref="N21"/>
    </sheetView>
  </sheetViews>
  <sheetFormatPr baseColWidth="10" defaultRowHeight="14"/>
  <cols>
    <col min="1" max="1" width="2.59765625" customWidth="1"/>
    <col min="3" max="3" width="6.59765625" bestFit="1" customWidth="1"/>
    <col min="6" max="6" width="3" customWidth="1"/>
    <col min="10" max="10" width="11" customWidth="1"/>
    <col min="11" max="11" width="3" customWidth="1"/>
    <col min="15" max="15" width="16.3984375" customWidth="1"/>
  </cols>
  <sheetData>
    <row r="2" spans="2:15">
      <c r="B2" s="98" t="str">
        <f>'Data Sheet'!$B$1&amp;" - "&amp;'Data Sheet'!A17</f>
        <v>TATA MOTORS LTD - Sales</v>
      </c>
      <c r="C2" s="98"/>
      <c r="D2" s="98"/>
      <c r="E2" s="98"/>
      <c r="G2" s="98" t="str">
        <f>'Data Sheet'!$B$1&amp;" - "&amp;'Historical FS'!B17&amp; " Forecasting"</f>
        <v>TATA MOTORS LTD - EBITDA Forecasting</v>
      </c>
      <c r="H2" s="98"/>
      <c r="I2" s="98"/>
      <c r="J2" s="98"/>
      <c r="L2" s="98" t="str">
        <f>'Data Sheet'!$B$1&amp;" - "&amp;'Historical FS'!B37&amp; " Forecasting"</f>
        <v>TATA MOTORS LTD - Earnings Per Share Forecasting</v>
      </c>
      <c r="M2" s="98"/>
      <c r="N2" s="98"/>
      <c r="O2" s="98"/>
    </row>
    <row r="3" spans="2:15">
      <c r="B3" s="39" t="s">
        <v>153</v>
      </c>
      <c r="C3" s="39" t="s">
        <v>154</v>
      </c>
      <c r="D3" s="39" t="s">
        <v>12</v>
      </c>
      <c r="E3" s="39" t="s">
        <v>58</v>
      </c>
      <c r="G3" s="39" t="s">
        <v>153</v>
      </c>
      <c r="H3" s="39" t="s">
        <v>154</v>
      </c>
      <c r="I3" s="39" t="s">
        <v>12</v>
      </c>
      <c r="J3" s="39" t="s">
        <v>58</v>
      </c>
      <c r="L3" s="39" t="s">
        <v>153</v>
      </c>
      <c r="M3" s="39" t="s">
        <v>154</v>
      </c>
      <c r="N3" s="39" t="s">
        <v>12</v>
      </c>
      <c r="O3" s="39" t="s">
        <v>58</v>
      </c>
    </row>
    <row r="4" spans="2:15">
      <c r="B4" s="40">
        <v>1</v>
      </c>
      <c r="C4" s="54">
        <f>'Data Sheet'!$B$16</f>
        <v>42094</v>
      </c>
      <c r="D4" s="55">
        <f t="array" ref="D4:D13">TRANSPOSE('Data Sheet'!B17:K17)</f>
        <v>263158.98</v>
      </c>
      <c r="G4" s="40">
        <v>1</v>
      </c>
      <c r="H4" s="54">
        <f>'Data Sheet'!$B$16</f>
        <v>42094</v>
      </c>
      <c r="I4" s="55">
        <f t="array" ref="I4:I13">TRANSPOSE('Historical FS'!C17:L17)</f>
        <v>45899.349999999991</v>
      </c>
      <c r="L4" s="40">
        <v>1</v>
      </c>
      <c r="M4" s="54">
        <f>'Data Sheet'!$B$16</f>
        <v>42094</v>
      </c>
      <c r="N4" s="55">
        <f t="array" ref="N4:N13">TRANSPOSE('Historical FS'!C37:L37)</f>
        <v>69.288356306711904</v>
      </c>
    </row>
    <row r="5" spans="2:15">
      <c r="B5" s="40">
        <f>B4+1</f>
        <v>2</v>
      </c>
      <c r="C5" s="54">
        <f>C4+365</f>
        <v>42459</v>
      </c>
      <c r="D5" s="55">
        <v>273045.59999999998</v>
      </c>
      <c r="E5" s="23">
        <f>D5/D4-1</f>
        <v>3.75690010654397E-2</v>
      </c>
      <c r="G5" s="40">
        <f>G4+1</f>
        <v>2</v>
      </c>
      <c r="H5" s="54">
        <f>H4+365</f>
        <v>42459</v>
      </c>
      <c r="I5" s="55">
        <v>43897.229999999952</v>
      </c>
      <c r="J5" s="23">
        <f>I5/I4-1</f>
        <v>-4.3619789822732513E-2</v>
      </c>
      <c r="L5" s="40">
        <f>L4+1</f>
        <v>2</v>
      </c>
      <c r="M5" s="54">
        <f>M4+365</f>
        <v>42459</v>
      </c>
      <c r="N5" s="55">
        <v>66.75090052646145</v>
      </c>
      <c r="O5" s="23">
        <f>N5/N4-1</f>
        <v>-3.6621676649654544E-2</v>
      </c>
    </row>
    <row r="6" spans="2:15">
      <c r="B6" s="40">
        <f t="shared" ref="B6:B14" si="0">B5+1</f>
        <v>3</v>
      </c>
      <c r="C6" s="54">
        <f t="shared" ref="C6:C18" si="1">C5+365</f>
        <v>42824</v>
      </c>
      <c r="D6" s="55">
        <v>269692.51</v>
      </c>
      <c r="E6" s="23">
        <f t="shared" ref="E6:E18" si="2">D6/D5-1</f>
        <v>-1.2280329732469508E-2</v>
      </c>
      <c r="G6" s="40">
        <f t="shared" ref="G6:G14" si="3">G5+1</f>
        <v>3</v>
      </c>
      <c r="H6" s="54">
        <f t="shared" ref="H6:H18" si="4">H5+365</f>
        <v>42824</v>
      </c>
      <c r="I6" s="55">
        <v>44388.530000000013</v>
      </c>
      <c r="J6" s="23">
        <f t="shared" ref="J6:J18" si="5">I6/I5-1</f>
        <v>1.1192050158975064E-2</v>
      </c>
      <c r="L6" s="40">
        <f t="shared" ref="L6:L14" si="6">L5+1</f>
        <v>3</v>
      </c>
      <c r="M6" s="54">
        <f t="shared" ref="M6:M18" si="7">M5+365</f>
        <v>42824</v>
      </c>
      <c r="N6" s="55">
        <v>65.785682125168876</v>
      </c>
      <c r="O6" s="23">
        <f t="shared" ref="O6:O18" si="8">N6/N5-1</f>
        <v>-1.4460005688012312E-2</v>
      </c>
    </row>
    <row r="7" spans="2:15">
      <c r="B7" s="40">
        <f t="shared" si="0"/>
        <v>4</v>
      </c>
      <c r="C7" s="54">
        <f t="shared" si="1"/>
        <v>43189</v>
      </c>
      <c r="D7" s="55">
        <v>291550.48</v>
      </c>
      <c r="E7" s="23">
        <f t="shared" si="2"/>
        <v>8.104774581985974E-2</v>
      </c>
      <c r="G7" s="40">
        <f t="shared" si="3"/>
        <v>4</v>
      </c>
      <c r="H7" s="54">
        <f t="shared" si="4"/>
        <v>43189</v>
      </c>
      <c r="I7" s="55">
        <v>35550.839999999997</v>
      </c>
      <c r="J7" s="23">
        <f t="shared" si="5"/>
        <v>-0.19909850585275102</v>
      </c>
      <c r="L7" s="40">
        <f t="shared" si="6"/>
        <v>4</v>
      </c>
      <c r="M7" s="54">
        <f t="shared" si="7"/>
        <v>43189</v>
      </c>
      <c r="N7" s="55">
        <v>17.225539431302582</v>
      </c>
      <c r="O7" s="23">
        <f t="shared" si="8"/>
        <v>-0.73815671017094642</v>
      </c>
    </row>
    <row r="8" spans="2:15">
      <c r="B8" s="40">
        <f t="shared" si="0"/>
        <v>5</v>
      </c>
      <c r="C8" s="54">
        <f t="shared" si="1"/>
        <v>43554</v>
      </c>
      <c r="D8" s="55">
        <v>301938.40000000002</v>
      </c>
      <c r="E8" s="23">
        <f t="shared" si="2"/>
        <v>3.5629919045237157E-2</v>
      </c>
      <c r="G8" s="40">
        <f t="shared" si="3"/>
        <v>5</v>
      </c>
      <c r="H8" s="54">
        <f t="shared" si="4"/>
        <v>43554</v>
      </c>
      <c r="I8" s="55">
        <v>20557.770000000026</v>
      </c>
      <c r="J8" s="23">
        <f t="shared" si="5"/>
        <v>-0.42173602649051256</v>
      </c>
      <c r="L8" s="40">
        <f t="shared" si="6"/>
        <v>5</v>
      </c>
      <c r="M8" s="54">
        <f t="shared" si="7"/>
        <v>43554</v>
      </c>
      <c r="N8" s="55">
        <v>-22.006753714542914</v>
      </c>
      <c r="O8" s="23">
        <f t="shared" si="8"/>
        <v>-2.2775654313937954</v>
      </c>
    </row>
    <row r="9" spans="2:15">
      <c r="B9" s="40">
        <f t="shared" si="0"/>
        <v>6</v>
      </c>
      <c r="C9" s="54">
        <f t="shared" si="1"/>
        <v>43919</v>
      </c>
      <c r="D9" s="55">
        <v>261067.97</v>
      </c>
      <c r="E9" s="23">
        <f t="shared" si="2"/>
        <v>-0.135360159555724</v>
      </c>
      <c r="G9" s="40">
        <f t="shared" si="3"/>
        <v>6</v>
      </c>
      <c r="H9" s="54">
        <f t="shared" si="4"/>
        <v>43919</v>
      </c>
      <c r="I9" s="55">
        <v>13524.689999999959</v>
      </c>
      <c r="J9" s="23">
        <f t="shared" si="5"/>
        <v>-0.34211298209874219</v>
      </c>
      <c r="L9" s="40">
        <f t="shared" si="6"/>
        <v>6</v>
      </c>
      <c r="M9" s="54">
        <f t="shared" si="7"/>
        <v>43919</v>
      </c>
      <c r="N9" s="55">
        <v>-50.305341534477314</v>
      </c>
      <c r="O9" s="23">
        <f t="shared" si="8"/>
        <v>1.2859046903057583</v>
      </c>
    </row>
    <row r="10" spans="2:15">
      <c r="B10" s="40">
        <f t="shared" si="0"/>
        <v>7</v>
      </c>
      <c r="C10" s="54">
        <f t="shared" si="1"/>
        <v>44284</v>
      </c>
      <c r="D10" s="55">
        <v>249794.75</v>
      </c>
      <c r="E10" s="23">
        <f t="shared" si="2"/>
        <v>-4.3181168490336042E-2</v>
      </c>
      <c r="G10" s="40">
        <f t="shared" si="3"/>
        <v>7</v>
      </c>
      <c r="H10" s="54">
        <f t="shared" si="4"/>
        <v>44284</v>
      </c>
      <c r="I10" s="55">
        <v>22919.110000000011</v>
      </c>
      <c r="J10" s="23">
        <f t="shared" si="5"/>
        <v>0.69461259370825368</v>
      </c>
      <c r="L10" s="40">
        <f t="shared" si="6"/>
        <v>7</v>
      </c>
      <c r="M10" s="54">
        <f t="shared" si="7"/>
        <v>44284</v>
      </c>
      <c r="N10" s="55">
        <v>-33.932566334367344</v>
      </c>
      <c r="O10" s="23">
        <f t="shared" si="8"/>
        <v>-0.32546792648030642</v>
      </c>
    </row>
    <row r="11" spans="2:15">
      <c r="B11" s="40">
        <f t="shared" si="0"/>
        <v>8</v>
      </c>
      <c r="C11" s="54">
        <f t="shared" si="1"/>
        <v>44649</v>
      </c>
      <c r="D11" s="55">
        <v>278453.62</v>
      </c>
      <c r="E11" s="23">
        <f t="shared" si="2"/>
        <v>0.11472967306158344</v>
      </c>
      <c r="G11" s="40">
        <f t="shared" si="3"/>
        <v>8</v>
      </c>
      <c r="H11" s="54">
        <f t="shared" si="4"/>
        <v>44649</v>
      </c>
      <c r="I11" s="55">
        <v>21539.110000000004</v>
      </c>
      <c r="J11" s="23">
        <f t="shared" si="5"/>
        <v>-6.0211762149577686E-2</v>
      </c>
      <c r="L11" s="40">
        <f t="shared" si="6"/>
        <v>8</v>
      </c>
      <c r="M11" s="54">
        <f t="shared" si="7"/>
        <v>44649</v>
      </c>
      <c r="N11" s="55">
        <v>-50.711386153521836</v>
      </c>
      <c r="O11" s="23">
        <f t="shared" si="8"/>
        <v>0.49447541496914971</v>
      </c>
    </row>
    <row r="12" spans="2:15">
      <c r="B12" s="40">
        <f t="shared" si="0"/>
        <v>9</v>
      </c>
      <c r="C12" s="54">
        <f t="shared" si="1"/>
        <v>45014</v>
      </c>
      <c r="D12" s="55">
        <v>345966.97</v>
      </c>
      <c r="E12" s="23">
        <f t="shared" si="2"/>
        <v>0.24245815155859707</v>
      </c>
      <c r="G12" s="40">
        <f t="shared" si="3"/>
        <v>9</v>
      </c>
      <c r="H12" s="54">
        <f t="shared" si="4"/>
        <v>45014</v>
      </c>
      <c r="I12" s="55">
        <v>41379.03999999995</v>
      </c>
      <c r="J12" s="23">
        <f t="shared" si="5"/>
        <v>0.92111187509604342</v>
      </c>
      <c r="L12" s="40">
        <f t="shared" si="6"/>
        <v>9</v>
      </c>
      <c r="M12" s="54">
        <f t="shared" si="7"/>
        <v>45014</v>
      </c>
      <c r="N12" s="55">
        <v>16.828169692590102</v>
      </c>
      <c r="O12" s="23">
        <f t="shared" si="8"/>
        <v>-1.3318420372427822</v>
      </c>
    </row>
    <row r="13" spans="2:15">
      <c r="B13" s="40">
        <f t="shared" si="0"/>
        <v>10</v>
      </c>
      <c r="C13" s="54">
        <f t="shared" si="1"/>
        <v>45379</v>
      </c>
      <c r="D13" s="55">
        <v>437927.77</v>
      </c>
      <c r="E13" s="23">
        <f t="shared" si="2"/>
        <v>0.26580803363974326</v>
      </c>
      <c r="G13" s="40">
        <f t="shared" si="3"/>
        <v>10</v>
      </c>
      <c r="H13" s="54">
        <f t="shared" si="4"/>
        <v>45379</v>
      </c>
      <c r="I13" s="55">
        <v>62669.400000000038</v>
      </c>
      <c r="J13" s="23">
        <f t="shared" si="5"/>
        <v>0.51452039486658263</v>
      </c>
      <c r="L13" s="40">
        <f t="shared" si="6"/>
        <v>10</v>
      </c>
      <c r="M13" s="54">
        <f t="shared" si="7"/>
        <v>45379</v>
      </c>
      <c r="N13" s="55">
        <v>88.049914252188927</v>
      </c>
      <c r="O13" s="23">
        <f t="shared" si="8"/>
        <v>4.2322929861445173</v>
      </c>
    </row>
    <row r="14" spans="2:15">
      <c r="B14" s="57">
        <f t="shared" si="0"/>
        <v>11</v>
      </c>
      <c r="C14" s="58">
        <f t="shared" si="1"/>
        <v>45744</v>
      </c>
      <c r="D14" s="59">
        <f>FORECAST(B14,$D$4:$D$13,$B$4:$B$13)</f>
        <v>362627.59266666661</v>
      </c>
      <c r="E14" s="60">
        <f t="shared" si="2"/>
        <v>-0.17194656857073354</v>
      </c>
      <c r="G14" s="57">
        <f t="shared" si="3"/>
        <v>11</v>
      </c>
      <c r="H14" s="58">
        <f t="shared" si="4"/>
        <v>45744</v>
      </c>
      <c r="I14" s="59">
        <f>FORECAST(G14,$I$4:$I$13,$G$4:$G$13)</f>
        <v>34370.098666666672</v>
      </c>
      <c r="J14" s="60">
        <f t="shared" si="5"/>
        <v>-0.45156489982883752</v>
      </c>
      <c r="L14" s="57">
        <f t="shared" si="6"/>
        <v>11</v>
      </c>
      <c r="M14" s="58">
        <f t="shared" si="7"/>
        <v>45744</v>
      </c>
      <c r="N14" s="59">
        <f>FORECAST(L14,$N$4:$N$13,$L$4:$L$13)</f>
        <v>-14.798193234855354</v>
      </c>
      <c r="O14" s="60">
        <f t="shared" si="8"/>
        <v>-1.1680659585024806</v>
      </c>
    </row>
    <row r="15" spans="2:15">
      <c r="B15" s="57">
        <f>B14+1</f>
        <v>12</v>
      </c>
      <c r="C15" s="58">
        <f t="shared" si="1"/>
        <v>46109</v>
      </c>
      <c r="D15" s="59">
        <f t="shared" ref="D15:D18" si="9">FORECAST(B15,$D$4:$D$13,$B$4:$B$13)</f>
        <v>374512.66315151507</v>
      </c>
      <c r="E15" s="60">
        <f t="shared" si="2"/>
        <v>3.2774865247977569E-2</v>
      </c>
      <c r="G15" s="57">
        <f>G14+1</f>
        <v>12</v>
      </c>
      <c r="H15" s="58">
        <f t="shared" si="4"/>
        <v>46109</v>
      </c>
      <c r="I15" s="59">
        <f t="shared" ref="I15:I18" si="10">FORECAST(G15,$I$4:$I$13,$G$4:$G$13)</f>
        <v>34213.297151515158</v>
      </c>
      <c r="J15" s="60">
        <f t="shared" si="5"/>
        <v>-4.5621491131646597E-3</v>
      </c>
      <c r="L15" s="57">
        <f>L14+1</f>
        <v>12</v>
      </c>
      <c r="M15" s="58">
        <f t="shared" si="7"/>
        <v>46109</v>
      </c>
      <c r="N15" s="59">
        <f t="shared" ref="N15:N18" si="11">FORECAST(L15,$N$4:$N$13,$L$4:$L$13)</f>
        <v>-20.524637724783865</v>
      </c>
      <c r="O15" s="60">
        <f t="shared" si="8"/>
        <v>0.38696916569791528</v>
      </c>
    </row>
    <row r="16" spans="2:15">
      <c r="B16" s="57">
        <f t="shared" ref="B16:B18" si="12">B15+1</f>
        <v>13</v>
      </c>
      <c r="C16" s="58">
        <f t="shared" si="1"/>
        <v>46474</v>
      </c>
      <c r="D16" s="59">
        <f t="shared" si="9"/>
        <v>386397.73363636358</v>
      </c>
      <c r="E16" s="60">
        <f t="shared" si="2"/>
        <v>3.1734762677544603E-2</v>
      </c>
      <c r="G16" s="57">
        <f t="shared" ref="G16:G18" si="13">G15+1</f>
        <v>13</v>
      </c>
      <c r="H16" s="58">
        <f t="shared" si="4"/>
        <v>46474</v>
      </c>
      <c r="I16" s="59">
        <f t="shared" si="10"/>
        <v>34056.495636363645</v>
      </c>
      <c r="J16" s="60">
        <f t="shared" si="5"/>
        <v>-4.5830577058127986E-3</v>
      </c>
      <c r="L16" s="57">
        <f t="shared" ref="L16:L18" si="14">L15+1</f>
        <v>13</v>
      </c>
      <c r="M16" s="58">
        <f t="shared" si="7"/>
        <v>46474</v>
      </c>
      <c r="N16" s="59">
        <f t="shared" si="11"/>
        <v>-26.251082214712376</v>
      </c>
      <c r="O16" s="60">
        <f t="shared" si="8"/>
        <v>0.27900343804917571</v>
      </c>
    </row>
    <row r="17" spans="2:15">
      <c r="B17" s="57">
        <f t="shared" si="12"/>
        <v>14</v>
      </c>
      <c r="C17" s="58">
        <f t="shared" si="1"/>
        <v>46839</v>
      </c>
      <c r="D17" s="59">
        <f t="shared" si="9"/>
        <v>398282.8041212121</v>
      </c>
      <c r="E17" s="60">
        <f t="shared" si="2"/>
        <v>3.0758644397312906E-2</v>
      </c>
      <c r="G17" s="57">
        <f t="shared" si="13"/>
        <v>14</v>
      </c>
      <c r="H17" s="58">
        <f t="shared" si="4"/>
        <v>46839</v>
      </c>
      <c r="I17" s="59">
        <f t="shared" si="10"/>
        <v>33899.694121212131</v>
      </c>
      <c r="J17" s="60">
        <f t="shared" si="5"/>
        <v>-4.6041588314239545E-3</v>
      </c>
      <c r="L17" s="57">
        <f t="shared" si="14"/>
        <v>14</v>
      </c>
      <c r="M17" s="58">
        <f t="shared" si="7"/>
        <v>46839</v>
      </c>
      <c r="N17" s="59">
        <f t="shared" si="11"/>
        <v>-31.977526704640873</v>
      </c>
      <c r="O17" s="60">
        <f t="shared" si="8"/>
        <v>0.2181412729231833</v>
      </c>
    </row>
    <row r="18" spans="2:15">
      <c r="B18" s="57">
        <f t="shared" si="12"/>
        <v>15</v>
      </c>
      <c r="C18" s="58">
        <f t="shared" si="1"/>
        <v>47204</v>
      </c>
      <c r="D18" s="59">
        <f t="shared" si="9"/>
        <v>410167.87460606056</v>
      </c>
      <c r="E18" s="60">
        <f t="shared" si="2"/>
        <v>2.9840782383442788E-2</v>
      </c>
      <c r="G18" s="57">
        <f t="shared" si="13"/>
        <v>15</v>
      </c>
      <c r="H18" s="58">
        <f t="shared" si="4"/>
        <v>47204</v>
      </c>
      <c r="I18" s="59">
        <f t="shared" si="10"/>
        <v>33742.892606060617</v>
      </c>
      <c r="J18" s="60">
        <f t="shared" si="5"/>
        <v>-4.6254551616558004E-3</v>
      </c>
      <c r="L18" s="57">
        <f t="shared" si="14"/>
        <v>15</v>
      </c>
      <c r="M18" s="58">
        <f t="shared" si="7"/>
        <v>47204</v>
      </c>
      <c r="N18" s="59">
        <f t="shared" si="11"/>
        <v>-37.703971194569384</v>
      </c>
      <c r="O18" s="60">
        <f t="shared" si="8"/>
        <v>0.17907715449104566</v>
      </c>
    </row>
    <row r="19" spans="2:15">
      <c r="B19" s="40"/>
      <c r="C19" s="53"/>
    </row>
    <row r="20" spans="2:15">
      <c r="B20" s="40"/>
      <c r="C20" s="53"/>
    </row>
  </sheetData>
  <mergeCells count="3">
    <mergeCell ref="B2:E2"/>
    <mergeCell ref="G2:J2"/>
    <mergeCell ref="L2:O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B07AE-9070-984E-BE2C-8D181A5D9A85}">
  <dimension ref="B2:O40"/>
  <sheetViews>
    <sheetView showGridLines="0" zoomScale="134" zoomScaleNormal="174" workbookViewId="0">
      <pane ySplit="3" topLeftCell="A4" activePane="bottomLeft" state="frozen"/>
      <selection pane="bottomLeft" activeCell="Q28" sqref="Q28"/>
    </sheetView>
  </sheetViews>
  <sheetFormatPr baseColWidth="10" defaultRowHeight="14"/>
  <cols>
    <col min="1" max="1" width="2.19921875" customWidth="1"/>
    <col min="2" max="2" width="34" customWidth="1"/>
    <col min="13" max="13" width="15.3984375" customWidth="1"/>
    <col min="14" max="14" width="11" customWidth="1"/>
  </cols>
  <sheetData>
    <row r="2" spans="2:15">
      <c r="B2" s="97" t="str">
        <f>"Ratio Analysis - "&amp;'Data Sheet'!B1</f>
        <v>Ratio Analysis - TATA MOTORS LTD</v>
      </c>
      <c r="C2" s="97"/>
      <c r="D2" s="97"/>
      <c r="E2" s="97"/>
      <c r="F2" s="97"/>
      <c r="G2" s="97"/>
      <c r="H2" s="97"/>
      <c r="I2" s="97"/>
      <c r="J2" s="97"/>
      <c r="K2" s="97"/>
      <c r="L2" s="97"/>
    </row>
    <row r="3" spans="2:15">
      <c r="B3" s="7" t="s">
        <v>54</v>
      </c>
      <c r="C3" s="8">
        <f>'Data Sheet'!B16</f>
        <v>42094</v>
      </c>
      <c r="D3" s="8">
        <f>'Data Sheet'!C16</f>
        <v>42460</v>
      </c>
      <c r="E3" s="8">
        <f>'Data Sheet'!D16</f>
        <v>42825</v>
      </c>
      <c r="F3" s="8">
        <f>'Data Sheet'!E16</f>
        <v>43190</v>
      </c>
      <c r="G3" s="8">
        <f>'Data Sheet'!F16</f>
        <v>43555</v>
      </c>
      <c r="H3" s="8">
        <f>'Data Sheet'!G16</f>
        <v>43921</v>
      </c>
      <c r="I3" s="8">
        <f>'Data Sheet'!H16</f>
        <v>44286</v>
      </c>
      <c r="J3" s="8">
        <f>'Data Sheet'!I16</f>
        <v>44651</v>
      </c>
      <c r="K3" s="8">
        <f>'Data Sheet'!J16</f>
        <v>45016</v>
      </c>
      <c r="L3" s="8">
        <f>'Data Sheet'!K16</f>
        <v>45382</v>
      </c>
      <c r="M3" s="37" t="s">
        <v>152</v>
      </c>
      <c r="N3" s="37" t="s">
        <v>150</v>
      </c>
      <c r="O3" s="37" t="s">
        <v>151</v>
      </c>
    </row>
    <row r="5" spans="2:15">
      <c r="B5" s="24" t="s">
        <v>58</v>
      </c>
      <c r="C5" s="24"/>
      <c r="D5" s="25">
        <f>IFERROR('Historical FS'!D6,0)</f>
        <v>3.75690010654397E-2</v>
      </c>
      <c r="E5" s="25">
        <f>IFERROR('Historical FS'!E6,0)</f>
        <v>-1.2280329732469508E-2</v>
      </c>
      <c r="F5" s="25">
        <f>IFERROR('Historical FS'!F6,0)</f>
        <v>8.104774581985974E-2</v>
      </c>
      <c r="G5" s="25">
        <f>IFERROR('Historical FS'!G6,0)</f>
        <v>3.5629919045237157E-2</v>
      </c>
      <c r="H5" s="25">
        <f>IFERROR('Historical FS'!H6,0)</f>
        <v>-0.135360159555724</v>
      </c>
      <c r="I5" s="25">
        <f>IFERROR('Historical FS'!I6,0)</f>
        <v>-4.3181168490336042E-2</v>
      </c>
      <c r="J5" s="25">
        <f>IFERROR('Historical FS'!J6,0)</f>
        <v>0.11472967306158344</v>
      </c>
      <c r="K5" s="25">
        <f>IFERROR('Historical FS'!K6,0)</f>
        <v>0.24245815155859707</v>
      </c>
      <c r="L5" s="25">
        <f>IFERROR('Historical FS'!L6,0)</f>
        <v>0.26580803363974326</v>
      </c>
      <c r="N5" s="23">
        <f>IFERROR(AVERAGE(D5:L5),0)</f>
        <v>6.5157874045770087E-2</v>
      </c>
      <c r="O5" s="23">
        <f>IFERROR(MEDIAN(D5:L5),0)</f>
        <v>3.75690010654397E-2</v>
      </c>
    </row>
    <row r="6" spans="2:15">
      <c r="B6" t="s">
        <v>123</v>
      </c>
      <c r="D6" s="26">
        <f>IFERROR('Historical FS'!D17/'Historical FS'!C17-1,0)</f>
        <v>-4.3619789822732513E-2</v>
      </c>
      <c r="E6" s="26">
        <f>IFERROR('Historical FS'!E17/'Historical FS'!D17-1,0)</f>
        <v>1.1192050158975064E-2</v>
      </c>
      <c r="F6" s="26">
        <f>IFERROR('Historical FS'!F17/'Historical FS'!E17-1,0)</f>
        <v>-0.19909850585275102</v>
      </c>
      <c r="G6" s="26">
        <f>IFERROR('Historical FS'!G17/'Historical FS'!F17-1,0)</f>
        <v>-0.42173602649051256</v>
      </c>
      <c r="H6" s="26">
        <f>IFERROR('Historical FS'!H17/'Historical FS'!G17-1,0)</f>
        <v>-0.34211298209874219</v>
      </c>
      <c r="I6" s="26">
        <f>IFERROR('Historical FS'!I17/'Historical FS'!H17-1,0)</f>
        <v>0.69461259370825368</v>
      </c>
      <c r="J6" s="26">
        <f>IFERROR('Historical FS'!J17/'Historical FS'!I17-1,0)</f>
        <v>-6.0211762149577686E-2</v>
      </c>
      <c r="K6" s="26">
        <f>IFERROR('Historical FS'!K17/'Historical FS'!J17-1,0)</f>
        <v>0.92111187509604342</v>
      </c>
      <c r="L6" s="26">
        <f>IFERROR('Historical FS'!L17/'Historical FS'!K17-1,0)</f>
        <v>0.51452039486658263</v>
      </c>
      <c r="N6" s="23">
        <f t="shared" ref="N6:N9" si="0">IFERROR(AVERAGE(D6:L6),0)</f>
        <v>0.11940642749061542</v>
      </c>
      <c r="O6" s="23">
        <f t="shared" ref="O6:O9" si="1">IFERROR(MEDIAN(D6:L6),0)</f>
        <v>-4.3619789822732513E-2</v>
      </c>
    </row>
    <row r="7" spans="2:15">
      <c r="B7" t="s">
        <v>124</v>
      </c>
      <c r="D7" s="26">
        <f>IFERROR('Historical FS'!D26/'Historical FS'!C26-1,0)</f>
        <v>-0.19356271404303282</v>
      </c>
      <c r="E7" s="26">
        <f>IFERROR('Historical FS'!E26/'Historical FS'!D26-1,0)</f>
        <v>-2.3249378738363635E-3</v>
      </c>
      <c r="F7" s="26">
        <f>IFERROR('Historical FS'!F26/'Historical FS'!E26-1,0)</f>
        <v>-0.58124351274166131</v>
      </c>
      <c r="G7" s="26">
        <f>IFERROR('Historical FS'!G26/'Historical FS'!F26-1,0)</f>
        <v>-1.9437494230021899</v>
      </c>
      <c r="H7" s="26">
        <f>IFERROR('Historical FS'!H26/'Historical FS'!G26-1,0)</f>
        <v>0.7225887395267776</v>
      </c>
      <c r="I7" s="26">
        <f>IFERROR('Historical FS'!I26/'Historical FS'!H26-1,0)</f>
        <v>-0.42388208718000087</v>
      </c>
      <c r="J7" s="26">
        <f>IFERROR('Historical FS'!J26/'Historical FS'!I26-1,0)</f>
        <v>0.445131504899271</v>
      </c>
      <c r="K7" s="26">
        <f>IFERROR('Historical FS'!K26/'Historical FS'!J26-1,0)</f>
        <v>-1.4991259822785334</v>
      </c>
      <c r="L7" s="26">
        <f>IFERROR('Historical FS'!L26/'Historical FS'!K26-1,0)</f>
        <v>3.0382492213818466</v>
      </c>
      <c r="N7" s="23">
        <f t="shared" si="0"/>
        <v>-4.8657687923484398E-2</v>
      </c>
      <c r="O7" s="23">
        <f t="shared" si="1"/>
        <v>-0.19356271404303282</v>
      </c>
    </row>
    <row r="8" spans="2:15">
      <c r="B8" t="s">
        <v>125</v>
      </c>
      <c r="D8" s="26">
        <f>IFERROR('Historical FS'!D32/'Historical FS'!C32-1,0)</f>
        <v>-3.6688406463559753E-2</v>
      </c>
      <c r="E8" s="26">
        <f>IFERROR('Historical FS'!E32/'Historical FS'!D32-1,0)</f>
        <v>-1.4425870886325187E-2</v>
      </c>
      <c r="F8" s="26">
        <f>IFERROR('Historical FS'!F32/'Historical FS'!E32-1,0)</f>
        <v>-0.73815671017094642</v>
      </c>
      <c r="G8" s="26">
        <f>IFERROR('Historical FS'!G32/'Historical FS'!F32-1,0)</f>
        <v>-2.2775654313937954</v>
      </c>
      <c r="H8" s="26">
        <f>IFERROR('Historical FS'!H32/'Historical FS'!G32-1,0)</f>
        <v>1.4455926257591822</v>
      </c>
      <c r="I8" s="26">
        <f>IFERROR('Historical FS'!I32/'Historical FS'!H32-1,0)</f>
        <v>-0.27495990815557192</v>
      </c>
      <c r="J8" s="26">
        <f>IFERROR('Historical FS'!J32/'Historical FS'!I32-1,0)</f>
        <v>0.49465545597929572</v>
      </c>
      <c r="K8" s="26">
        <f>IFERROR('Historical FS'!K32/'Historical FS'!J32-1,0)</f>
        <v>-1.331901996053378</v>
      </c>
      <c r="L8" s="26">
        <f>IFERROR('Historical FS'!L32/'Historical FS'!K32-1,0)</f>
        <v>4.2360738861435383</v>
      </c>
      <c r="N8" s="23">
        <f t="shared" si="0"/>
        <v>0.16695818275093771</v>
      </c>
      <c r="O8" s="23">
        <f t="shared" si="1"/>
        <v>-3.6688406463559753E-2</v>
      </c>
    </row>
    <row r="9" spans="2:15">
      <c r="B9" s="27" t="s">
        <v>126</v>
      </c>
      <c r="C9" s="27"/>
      <c r="D9" s="28">
        <f>IFERROR('Historical FS'!D40/'Historical FS'!C40-1,0)</f>
        <v>0</v>
      </c>
      <c r="E9" s="28">
        <f>IFERROR('Historical FS'!E40/'Historical FS'!D40-1,0)</f>
        <v>-1</v>
      </c>
      <c r="F9" s="28">
        <f>IFERROR('Historical FS'!F40/'Historical FS'!E40-1,0)</f>
        <v>0</v>
      </c>
      <c r="G9" s="28">
        <f>IFERROR('Historical FS'!G40/'Historical FS'!F40-1,0)</f>
        <v>0</v>
      </c>
      <c r="H9" s="28">
        <f>IFERROR('Historical FS'!H40/'Historical FS'!G40-1,0)</f>
        <v>0</v>
      </c>
      <c r="I9" s="28">
        <f>IFERROR('Historical FS'!I40/'Historical FS'!H40-1,0)</f>
        <v>0</v>
      </c>
      <c r="J9" s="28">
        <f>IFERROR('Historical FS'!J40/'Historical FS'!I40-1,0)</f>
        <v>0</v>
      </c>
      <c r="K9" s="28">
        <f>IFERROR('Historical FS'!K40/'Historical FS'!J40-1,0)</f>
        <v>0</v>
      </c>
      <c r="L9" s="28">
        <f>IFERROR('Historical FS'!L40/'Historical FS'!K40-1,0)</f>
        <v>1.9997122285739932</v>
      </c>
      <c r="N9" s="23">
        <f t="shared" si="0"/>
        <v>0.11107913650822147</v>
      </c>
      <c r="O9" s="23">
        <f t="shared" si="1"/>
        <v>0</v>
      </c>
    </row>
    <row r="11" spans="2:15">
      <c r="B11" s="24" t="s">
        <v>69</v>
      </c>
      <c r="C11" s="25">
        <f>IFERROR('Historical FS'!C12,0)</f>
        <v>0.25445759061689627</v>
      </c>
      <c r="D11" s="25">
        <f>IFERROR('Historical FS'!D12,0)</f>
        <v>0.26749564907839551</v>
      </c>
      <c r="E11" s="25">
        <f>IFERROR('Historical FS'!E12,0)</f>
        <v>0.2930675012072082</v>
      </c>
      <c r="F11" s="25">
        <f>IFERROR('Historical FS'!F12,0)</f>
        <v>0.23053918484373614</v>
      </c>
      <c r="G11" s="25">
        <f>IFERROR('Historical FS'!G12,0)</f>
        <v>0.18211101999613175</v>
      </c>
      <c r="H11" s="25">
        <f>IFERROR('Historical FS'!H12,0)</f>
        <v>0.17707848266487827</v>
      </c>
      <c r="I11" s="25">
        <f>IFERROR('Historical FS'!I12,0)</f>
        <v>0.18054979137872199</v>
      </c>
      <c r="J11" s="25">
        <f>IFERROR('Historical FS'!J12,0)</f>
        <v>0.18664734902710192</v>
      </c>
      <c r="K11" s="25">
        <f>IFERROR('Historical FS'!K12,0)</f>
        <v>0.23449224068991312</v>
      </c>
      <c r="L11" s="25">
        <f>IFERROR('Historical FS'!L12,0)</f>
        <v>0.24320686491290569</v>
      </c>
      <c r="N11" s="23">
        <f>IFERROR(AVERAGE(C11:L11),0)</f>
        <v>0.22496456744158885</v>
      </c>
      <c r="O11" s="23">
        <f>IFERROR(MEDIAN(C11:L11),0)</f>
        <v>0.23251571276682464</v>
      </c>
    </row>
    <row r="12" spans="2:15">
      <c r="B12" t="s">
        <v>127</v>
      </c>
      <c r="C12" s="26">
        <f>IFERROR('Historical FS'!C18,0)</f>
        <v>0.17441681070507264</v>
      </c>
      <c r="D12" s="26">
        <f>IFERROR('Historical FS'!D18,0)</f>
        <v>0.16076886058592396</v>
      </c>
      <c r="E12" s="26">
        <f>IFERROR('Historical FS'!E18,0)</f>
        <v>0.16458940591268187</v>
      </c>
      <c r="F12" s="26">
        <f>IFERROR('Historical FS'!F18,0)</f>
        <v>0.12193716847936591</v>
      </c>
      <c r="G12" s="26">
        <f>IFERROR('Historical FS'!G18,0)</f>
        <v>6.8085973827774218E-2</v>
      </c>
      <c r="H12" s="26">
        <f>IFERROR('Historical FS'!H18,0)</f>
        <v>5.1805244435002729E-2</v>
      </c>
      <c r="I12" s="26">
        <f>IFERROR('Historical FS'!I18,0)</f>
        <v>9.1751768201693631E-2</v>
      </c>
      <c r="J12" s="26">
        <f>IFERROR('Historical FS'!J18,0)</f>
        <v>7.735259466190457E-2</v>
      </c>
      <c r="K12" s="26">
        <f>IFERROR('Historical FS'!K18,0)</f>
        <v>0.11960401884607641</v>
      </c>
      <c r="L12" s="26">
        <f>IFERROR('Historical FS'!L18,0)</f>
        <v>0.14310442107838933</v>
      </c>
      <c r="N12" s="23">
        <f>IFERROR(AVERAGE(C12:L12),0)</f>
        <v>0.11734162667338854</v>
      </c>
      <c r="O12" s="23">
        <f>IFERROR(MEDIAN(C12:L12),0)</f>
        <v>0.12077059366272117</v>
      </c>
    </row>
    <row r="13" spans="2:15">
      <c r="B13" t="s">
        <v>128</v>
      </c>
      <c r="C13" s="26">
        <f>IFERROR(('Historical FS'!C17-'Historical FS'!C23)/'Historical FS'!C5,0)</f>
        <v>0.12354022652010582</v>
      </c>
      <c r="D13" s="26">
        <f>IFERROR(('Historical FS'!D17-'Historical FS'!D23)/'Historical FS'!D5,0)</f>
        <v>9.956743488999624E-2</v>
      </c>
      <c r="E13" s="26">
        <f>IFERROR(('Historical FS'!E17-'Historical FS'!E23)/'Historical FS'!E5,0)</f>
        <v>9.8199019320188055E-2</v>
      </c>
      <c r="F13" s="26">
        <f>IFERROR(('Historical FS'!F17-'Historical FS'!F23)/'Historical FS'!F5,0)</f>
        <v>4.8009696296847107E-2</v>
      </c>
      <c r="G13" s="26">
        <f>IFERROR(('Historical FS'!G17-'Historical FS'!G23)/'Historical FS'!G5,0)</f>
        <v>-1.004463162022444E-2</v>
      </c>
      <c r="H13" s="26">
        <f>IFERROR(('Historical FS'!H17-'Historical FS'!H23)/'Historical FS'!H5,0)</f>
        <v>-3.0263153308312932E-2</v>
      </c>
      <c r="I13" s="26">
        <f>IFERROR(('Historical FS'!I17-'Historical FS'!I23)/'Historical FS'!I5,0)</f>
        <v>-2.5124627319028426E-3</v>
      </c>
      <c r="J13" s="26">
        <f>IFERROR(('Historical FS'!J17-'Historical FS'!J23)/'Historical FS'!J5,0)</f>
        <v>-1.1838883617314777E-2</v>
      </c>
      <c r="K13" s="26">
        <f>IFERROR(('Historical FS'!K17-'Historical FS'!K23)/'Historical FS'!K5,0)</f>
        <v>4.7746407698977596E-2</v>
      </c>
      <c r="L13" s="26">
        <f>IFERROR(('Historical FS'!L17-'Historical FS'!L23)/'Historical FS'!L5,0)</f>
        <v>8.0833581300404925E-2</v>
      </c>
      <c r="N13" s="23">
        <f>IFERROR(AVERAGE(C13:L13),0)</f>
        <v>4.4323723474876467E-2</v>
      </c>
      <c r="O13" s="23">
        <f>IFERROR(MEDIAN(C13:L13),0)</f>
        <v>4.7878051997912355E-2</v>
      </c>
    </row>
    <row r="14" spans="2:15">
      <c r="B14" t="s">
        <v>129</v>
      </c>
      <c r="C14" s="26">
        <f>IFERROR('Historical FS'!C27,0)</f>
        <v>0.10506664070517373</v>
      </c>
      <c r="D14" s="26">
        <f>IFERROR('Historical FS'!D27,0)</f>
        <v>8.166170778800301E-2</v>
      </c>
      <c r="E14" s="26">
        <f>IFERROR('Historical FS'!E27,0)</f>
        <v>8.2484789807473743E-2</v>
      </c>
      <c r="F14" s="26">
        <f>IFERROR('Historical FS'!F27,0)</f>
        <v>3.1951447996244067E-2</v>
      </c>
      <c r="G14" s="26">
        <f>IFERROR('Historical FS'!G27,0)</f>
        <v>-2.9116733744366317E-2</v>
      </c>
      <c r="H14" s="26">
        <f>IFERROR('Historical FS'!H27,0)</f>
        <v>-5.8008150138065734E-2</v>
      </c>
      <c r="I14" s="26">
        <f>IFERROR('Historical FS'!I27,0)</f>
        <v>-3.4927755687419321E-2</v>
      </c>
      <c r="J14" s="26">
        <f>IFERROR('Historical FS'!J27,0)</f>
        <v>-4.5280215786025681E-2</v>
      </c>
      <c r="K14" s="26">
        <f>IFERROR('Historical FS'!K27,0)</f>
        <v>1.8190175784699766E-2</v>
      </c>
      <c r="L14" s="26">
        <f>IFERROR('Historical FS'!L27,0)</f>
        <v>5.8031282190668186E-2</v>
      </c>
      <c r="N14" s="23">
        <f>IFERROR(AVERAGE(C14:L14),0)</f>
        <v>2.1005318891638543E-2</v>
      </c>
      <c r="O14" s="23">
        <f>IFERROR(MEDIAN(C14:L14),0)</f>
        <v>2.5070811890471917E-2</v>
      </c>
    </row>
    <row r="15" spans="2:15">
      <c r="B15" s="27" t="s">
        <v>130</v>
      </c>
      <c r="C15" s="28">
        <f>IFERROR('Historical FS'!C33,0)</f>
        <v>7.6023702478250965E-2</v>
      </c>
      <c r="D15" s="28">
        <f>IFERROR('Historical FS'!D33,0)</f>
        <v>7.0582789101893431E-2</v>
      </c>
      <c r="E15" s="28">
        <f>IFERROR('Historical FS'!E33,0)</f>
        <v>7.0429467989303857E-2</v>
      </c>
      <c r="F15" s="28">
        <f>IFERROR('Historical FS'!F33,0)</f>
        <v>1.7058898342407106E-2</v>
      </c>
      <c r="G15" s="28">
        <f>IFERROR('Historical FS'!G33,0)</f>
        <v>-2.1044060642833026E-2</v>
      </c>
      <c r="H15" s="28">
        <f>IFERROR('Historical FS'!H33,0)</f>
        <v>-5.9522123682962877E-2</v>
      </c>
      <c r="I15" s="28">
        <f>IFERROR('Historical FS'!I33,0)</f>
        <v>-4.5103550014561906E-2</v>
      </c>
      <c r="J15" s="28">
        <f>IFERROR('Historical FS'!J33,0)</f>
        <v>-6.0475888228711111E-2</v>
      </c>
      <c r="K15" s="28">
        <f>IFERROR('Historical FS'!K33,0)</f>
        <v>1.6155126022579413E-2</v>
      </c>
      <c r="L15" s="28">
        <f>IFERROR('Historical FS'!L33,0)</f>
        <v>6.6826431217184595E-2</v>
      </c>
      <c r="N15" s="23">
        <f>IFERROR(AVERAGE(C15:L15),0)</f>
        <v>1.3093079258255041E-2</v>
      </c>
      <c r="O15" s="23">
        <f>IFERROR(MEDIAN(C15:L15),0)</f>
        <v>1.6607012182493261E-2</v>
      </c>
    </row>
    <row r="17" spans="2:15">
      <c r="B17" s="24" t="s">
        <v>131</v>
      </c>
      <c r="C17" s="29">
        <f>IFERROR('Historical FS'!C15,0)</f>
        <v>8.0040779911823637E-2</v>
      </c>
      <c r="D17" s="29">
        <f>IFERROR('Historical FS'!D15,0)</f>
        <v>0.10672678849247161</v>
      </c>
      <c r="E17" s="29">
        <f>IFERROR('Historical FS'!E15,0)</f>
        <v>0.12847809529452636</v>
      </c>
      <c r="F17" s="29">
        <f>IFERROR('Historical FS'!F15,0)</f>
        <v>0.10860201636437025</v>
      </c>
      <c r="G17" s="29">
        <f>IFERROR('Historical FS'!G15,0)</f>
        <v>0.11402504616835751</v>
      </c>
      <c r="H17" s="29">
        <f>IFERROR('Historical FS'!H15,0)</f>
        <v>0.12527323822987554</v>
      </c>
      <c r="I17" s="29">
        <f>IFERROR('Historical FS'!I15,0)</f>
        <v>8.8798023177028354E-2</v>
      </c>
      <c r="J17" s="29">
        <f>IFERROR('Historical FS'!J15,0)</f>
        <v>0.10929475436519734</v>
      </c>
      <c r="K17" s="29">
        <f>IFERROR('Historical FS'!K15,0)</f>
        <v>0.11488822184383672</v>
      </c>
      <c r="L17" s="29">
        <f>IFERROR('Historical FS'!L15,0)</f>
        <v>0.10010244383451636</v>
      </c>
      <c r="N17" s="23">
        <f>IFERROR(AVERAGE(C17:L17),0)</f>
        <v>0.10762294076820036</v>
      </c>
      <c r="O17" s="23">
        <f>IFERROR(MEDIAN(C17:L17),0)</f>
        <v>0.1089483853647838</v>
      </c>
    </row>
    <row r="18" spans="2:15">
      <c r="B18" t="s">
        <v>68</v>
      </c>
      <c r="C18" s="23">
        <f>IFERROR('Historical FS'!C24,0)</f>
        <v>5.0876584184966822E-2</v>
      </c>
      <c r="D18" s="23">
        <f>IFERROR('Historical FS'!D24,0)</f>
        <v>6.1201425695927715E-2</v>
      </c>
      <c r="E18" s="23">
        <f>IFERROR('Historical FS'!E24,0)</f>
        <v>6.63903865924938E-2</v>
      </c>
      <c r="F18" s="23">
        <f>IFERROR('Historical FS'!F24,0)</f>
        <v>7.3927472182518786E-2</v>
      </c>
      <c r="G18" s="23">
        <f>IFERROR('Historical FS'!G24,0)</f>
        <v>7.8130605447998658E-2</v>
      </c>
      <c r="H18" s="23">
        <f>IFERROR('Historical FS'!H24,0)</f>
        <v>8.206839774331566E-2</v>
      </c>
      <c r="I18" s="23">
        <f>IFERROR('Historical FS'!I24,0)</f>
        <v>9.4264230933596482E-2</v>
      </c>
      <c r="J18" s="23">
        <f>IFERROR('Historical FS'!J24,0)</f>
        <v>8.9191478279219347E-2</v>
      </c>
      <c r="K18" s="23">
        <f>IFERROR('Historical FS'!K24,0)</f>
        <v>7.1857611147098821E-2</v>
      </c>
      <c r="L18" s="23">
        <f>IFERROR('Historical FS'!L24,0)</f>
        <v>6.2270839777984394E-2</v>
      </c>
      <c r="N18" s="23">
        <f>IFERROR(AVERAGE(C18:L18),0)</f>
        <v>7.3017903198512063E-2</v>
      </c>
      <c r="O18" s="23">
        <f>IFERROR(MEDIAN(C18:L18),0)</f>
        <v>7.2892541664808796E-2</v>
      </c>
    </row>
    <row r="19" spans="2:15">
      <c r="B19" s="27" t="s">
        <v>132</v>
      </c>
      <c r="C19" s="30">
        <f>C13</f>
        <v>0.12354022652010582</v>
      </c>
      <c r="D19" s="30">
        <f t="shared" ref="D19:L19" si="2">D13</f>
        <v>9.956743488999624E-2</v>
      </c>
      <c r="E19" s="30">
        <f t="shared" si="2"/>
        <v>9.8199019320188055E-2</v>
      </c>
      <c r="F19" s="30">
        <f t="shared" si="2"/>
        <v>4.8009696296847107E-2</v>
      </c>
      <c r="G19" s="30">
        <f t="shared" si="2"/>
        <v>-1.004463162022444E-2</v>
      </c>
      <c r="H19" s="30">
        <f t="shared" si="2"/>
        <v>-3.0263153308312932E-2</v>
      </c>
      <c r="I19" s="30">
        <f t="shared" si="2"/>
        <v>-2.5124627319028426E-3</v>
      </c>
      <c r="J19" s="30">
        <f t="shared" si="2"/>
        <v>-1.1838883617314777E-2</v>
      </c>
      <c r="K19" s="30">
        <f t="shared" si="2"/>
        <v>4.7746407698977596E-2</v>
      </c>
      <c r="L19" s="30">
        <f t="shared" si="2"/>
        <v>8.0833581300404925E-2</v>
      </c>
      <c r="N19" s="23">
        <f>IFERROR(AVERAGE(C19:L19),0)</f>
        <v>4.4323723474876467E-2</v>
      </c>
      <c r="O19" s="23">
        <f>IFERROR(MEDIAN(C19:L19),0)</f>
        <v>4.7878051997912355E-2</v>
      </c>
    </row>
    <row r="21" spans="2:15">
      <c r="B21" s="24" t="s">
        <v>133</v>
      </c>
      <c r="C21" s="29">
        <f>IFERROR(('Historical FS'!C17-'Historical FS'!C23)/(SUM('Historical FS'!C47:C49)),0)</f>
        <v>0.25032834173812718</v>
      </c>
      <c r="D21" s="29">
        <f>IFERROR(('Historical FS'!D17-'Historical FS'!D23)/(SUM('Historical FS'!D47:D49)),0)</f>
        <v>0.18330534398445628</v>
      </c>
      <c r="E21" s="29">
        <f>IFERROR(('Historical FS'!E17-'Historical FS'!E23)/(SUM('Historical FS'!E47:E49)),0)</f>
        <v>0.19378312961385322</v>
      </c>
      <c r="F21" s="29">
        <f>IFERROR(('Historical FS'!F17-'Historical FS'!F23)/(SUM('Historical FS'!F47:F49)),0)</f>
        <v>7.5915896429939317E-2</v>
      </c>
      <c r="G21" s="29">
        <f>IFERROR(('Historical FS'!G17-'Historical FS'!G23)/(SUM('Historical FS'!G47:G49)),0)</f>
        <v>-1.8231263401318358E-2</v>
      </c>
      <c r="H21" s="29">
        <f>IFERROR(('Historical FS'!H17-'Historical FS'!H23)/(SUM('Historical FS'!H47:H49)),0)</f>
        <v>-4.2055150216774216E-2</v>
      </c>
      <c r="I21" s="29">
        <f>IFERROR(('Historical FS'!I17-'Historical FS'!I23)/(SUM('Historical FS'!I47:I49)),0)</f>
        <v>-3.179697117130282E-3</v>
      </c>
      <c r="J21" s="29">
        <f>IFERROR(('Historical FS'!J17-'Historical FS'!J23)/(SUM('Historical FS'!J47:J49)),0)</f>
        <v>-1.7258653160377162E-2</v>
      </c>
      <c r="K21" s="29">
        <f>IFERROR(('Historical FS'!K17-'Historical FS'!K23)/(SUM('Historical FS'!K47:K49)),0)</f>
        <v>9.2059290697818652E-2</v>
      </c>
      <c r="L21" s="29">
        <f>IFERROR(('Historical FS'!L17-'Historical FS'!L23)/(SUM('Historical FS'!L47:L49)),0)</f>
        <v>0.18419801340947578</v>
      </c>
      <c r="N21" s="23">
        <f>IFERROR(AVERAGE(C21:L21),0)</f>
        <v>8.9886525197807071E-2</v>
      </c>
      <c r="O21" s="23">
        <f>IFERROR(MEDIAN(C21:L21),0)</f>
        <v>8.3987593563878984E-2</v>
      </c>
    </row>
    <row r="22" spans="2:15">
      <c r="B22" t="s">
        <v>134</v>
      </c>
      <c r="C22" s="23">
        <f>IFERROR('Historical FS'!C43,0)</f>
        <v>1</v>
      </c>
      <c r="D22" s="23">
        <f>IFERROR('Historical FS'!D43,0)</f>
        <v>0.99647577458240622</v>
      </c>
      <c r="E22" s="23">
        <f>IFERROR('Historical FS'!E43,0)</f>
        <v>1</v>
      </c>
      <c r="F22" s="23">
        <f>IFERROR('Historical FS'!F43,0)</f>
        <v>1</v>
      </c>
      <c r="G22" s="23">
        <f>IFERROR('Historical FS'!G43,0)</f>
        <v>0</v>
      </c>
      <c r="H22" s="23">
        <f>IFERROR('Historical FS'!H43,0)</f>
        <v>0</v>
      </c>
      <c r="I22" s="23">
        <f>IFERROR('Historical FS'!I43,0)</f>
        <v>0</v>
      </c>
      <c r="J22" s="23">
        <f>IFERROR('Historical FS'!J43,0)</f>
        <v>0</v>
      </c>
      <c r="K22" s="23">
        <f>IFERROR('Historical FS'!K43,0)</f>
        <v>0.86294492533734946</v>
      </c>
      <c r="L22" s="23">
        <f>IFERROR('Historical FS'!L43,0)</f>
        <v>0.92142531304298814</v>
      </c>
      <c r="N22" s="23">
        <f>IFERROR(AVERAGE(C22:L22),0)</f>
        <v>0.57808460129627437</v>
      </c>
      <c r="O22" s="23">
        <f>IFERROR(MEDIAN(C22:L22),0)</f>
        <v>0.89218511919016885</v>
      </c>
    </row>
    <row r="23" spans="2:15">
      <c r="B23" t="s">
        <v>135</v>
      </c>
      <c r="C23" s="23">
        <f>IFERROR('Historical FS'!C32/(SUM('Historical FS'!C47:C48)),0)</f>
        <v>0.35559255709723375</v>
      </c>
      <c r="D23" s="23">
        <f>IFERROR('Historical FS'!D32/(SUM('Historical FS'!D47:D48)),0)</f>
        <v>0.24410046507763292</v>
      </c>
      <c r="E23" s="23">
        <f>IFERROR('Historical FS'!E32/(SUM('Historical FS'!E47:E48)),0)</f>
        <v>0.32713885131882564</v>
      </c>
      <c r="F23" s="23">
        <f>IFERROR('Historical FS'!F32/(SUM('Historical FS'!F47:F48)),0)</f>
        <v>5.2118190579674178E-2</v>
      </c>
      <c r="G23" s="23">
        <f>IFERROR('Historical FS'!G32/(SUM('Historical FS'!G47:G48)),0)</f>
        <v>-0.10558418838555775</v>
      </c>
      <c r="H23" s="23">
        <f>IFERROR('Historical FS'!H32/(SUM('Historical FS'!H47:H48)),0)</f>
        <v>-0.24634879728490885</v>
      </c>
      <c r="I23" s="23">
        <f>IFERROR('Historical FS'!I32/(SUM('Historical FS'!I47:I48)),0)</f>
        <v>-0.20393301176974829</v>
      </c>
      <c r="J23" s="23">
        <f>IFERROR('Historical FS'!J32/(SUM('Historical FS'!J47:J48)),0)</f>
        <v>-0.37790083938418223</v>
      </c>
      <c r="K23" s="23">
        <f>IFERROR('Historical FS'!K32/(SUM('Historical FS'!K47:K48)),0)</f>
        <v>0.12332125452238209</v>
      </c>
      <c r="L23" s="23">
        <f>IFERROR('Historical FS'!L32/(SUM('Historical FS'!L47:L48)),0)</f>
        <v>0.34462826617954628</v>
      </c>
      <c r="N23" s="23">
        <f>IFERROR(AVERAGE(C23:L23),0)</f>
        <v>5.1313274795089757E-2</v>
      </c>
      <c r="O23" s="23">
        <f>IFERROR(MEDIAN(C23:L23),0)</f>
        <v>8.771972255102814E-2</v>
      </c>
    </row>
    <row r="24" spans="2:15">
      <c r="B24" t="s">
        <v>136</v>
      </c>
      <c r="C24" s="26">
        <f>IFERROR(C22*C23,0)</f>
        <v>0.35559255709723375</v>
      </c>
      <c r="D24" s="26">
        <f t="shared" ref="D24:L24" si="3">IFERROR(D22*D23,0)</f>
        <v>0.24324020001415986</v>
      </c>
      <c r="E24" s="26">
        <f t="shared" si="3"/>
        <v>0.32713885131882564</v>
      </c>
      <c r="F24" s="26">
        <f t="shared" si="3"/>
        <v>5.2118190579674178E-2</v>
      </c>
      <c r="G24" s="26">
        <f t="shared" si="3"/>
        <v>0</v>
      </c>
      <c r="H24" s="26">
        <f t="shared" si="3"/>
        <v>0</v>
      </c>
      <c r="I24" s="26">
        <f t="shared" si="3"/>
        <v>0</v>
      </c>
      <c r="J24" s="26">
        <f t="shared" si="3"/>
        <v>0</v>
      </c>
      <c r="K24" s="26">
        <f t="shared" si="3"/>
        <v>0.10641945077632528</v>
      </c>
      <c r="L24" s="26">
        <f t="shared" si="3"/>
        <v>0.31754920804795067</v>
      </c>
      <c r="N24" s="23">
        <f>IFERROR(AVERAGE(C24:L24),0)</f>
        <v>0.14020584578341694</v>
      </c>
      <c r="O24" s="23">
        <f>IFERROR(MEDIAN(C24:L24),0)</f>
        <v>7.926882067799973E-2</v>
      </c>
    </row>
    <row r="25" spans="2:15">
      <c r="B25" s="27" t="s">
        <v>137</v>
      </c>
      <c r="C25" s="31">
        <f>IFERROR(('Historical FS'!C17-'Historical FS'!C23)/'Historical FS'!C20,0)</f>
        <v>6.6873983079261698</v>
      </c>
      <c r="D25" s="31">
        <f>IFERROR(('Historical FS'!D17-'Historical FS'!D23)/'Historical FS'!D20,0)</f>
        <v>5.5606474019651868</v>
      </c>
      <c r="E25" s="31">
        <f>IFERROR(('Historical FS'!E17-'Historical FS'!E23)/'Historical FS'!E20,0)</f>
        <v>6.2490508516969072</v>
      </c>
      <c r="F25" s="31">
        <f>IFERROR(('Historical FS'!F17-'Historical FS'!F23)/'Historical FS'!F20,0)</f>
        <v>2.9897218798792764</v>
      </c>
      <c r="G25" s="31">
        <f>IFERROR(('Historical FS'!G17-'Historical FS'!G23)/'Historical FS'!G20,0)</f>
        <v>-0.52666620359114624</v>
      </c>
      <c r="H25" s="31">
        <f>IFERROR(('Historical FS'!H17-'Historical FS'!H23)/'Historical FS'!H20,0)</f>
        <v>-1.0907607412612765</v>
      </c>
      <c r="I25" s="31">
        <f>IFERROR(('Historical FS'!I17-'Historical FS'!I23)/'Historical FS'!I20,0)</f>
        <v>-7.7508561633260462E-2</v>
      </c>
      <c r="J25" s="31">
        <f>IFERROR(('Historical FS'!J17-'Historical FS'!J23)/'Historical FS'!J20,0)</f>
        <v>-0.35401949771581553</v>
      </c>
      <c r="K25" s="31">
        <f>IFERROR(('Historical FS'!K17-'Historical FS'!K23)/'Historical FS'!K20,0)</f>
        <v>1.6154429914292483</v>
      </c>
      <c r="L25" s="31">
        <f>IFERROR(('Historical FS'!L17-'Historical FS'!L23)/'Historical FS'!L20,0)</f>
        <v>3.5449750444633188</v>
      </c>
      <c r="N25" s="23">
        <f>IFERROR(AVERAGE(C25:L25),0)</f>
        <v>2.4598281473158607</v>
      </c>
      <c r="O25" s="23">
        <f>IFERROR(MEDIAN(C25:L25),0)</f>
        <v>2.3025824356542621</v>
      </c>
    </row>
    <row r="27" spans="2:15">
      <c r="B27" s="24" t="s">
        <v>138</v>
      </c>
      <c r="C27" s="32">
        <f>IFERROR('Historical FS'!C5/'Historical FS'!C59,0)</f>
        <v>20.92016821419486</v>
      </c>
      <c r="D27" s="32">
        <f>IFERROR('Historical FS'!D5/'Historical FS'!D59,0)</f>
        <v>20.119918266350599</v>
      </c>
      <c r="E27" s="32">
        <f>IFERROR('Historical FS'!E5/'Historical FS'!E59,0)</f>
        <v>19.160353236640844</v>
      </c>
      <c r="F27" s="32">
        <f>IFERROR('Historical FS'!F5/'Historical FS'!F59,0)</f>
        <v>14.655712224718874</v>
      </c>
      <c r="G27" s="32">
        <f>IFERROR('Historical FS'!G5/'Historical FS'!G59,0)</f>
        <v>15.894698773489607</v>
      </c>
      <c r="H27" s="32">
        <f>IFERROR('Historical FS'!H5/'Historical FS'!H59,0)</f>
        <v>23.366617170976728</v>
      </c>
      <c r="I27" s="32">
        <f>IFERROR('Historical FS'!I5/'Historical FS'!I59,0)</f>
        <v>19.701330853658153</v>
      </c>
      <c r="J27" s="32">
        <f>IFERROR('Historical FS'!J5/'Historical FS'!J59,0)</f>
        <v>22.379917570317598</v>
      </c>
      <c r="K27" s="32">
        <f>IFERROR('Historical FS'!K5/'Historical FS'!K59,0)</f>
        <v>21.982947610142858</v>
      </c>
      <c r="L27" s="32">
        <f>IFERROR('Historical FS'!L5/'Historical FS'!L59,0)</f>
        <v>25.833687966063799</v>
      </c>
      <c r="N27" s="32">
        <f>IFERROR(AVERAGE(C27:L27),0)</f>
        <v>20.401535188655391</v>
      </c>
      <c r="O27" s="32">
        <f>IFERROR(MEDIAN(C27:L27),0)</f>
        <v>20.520043240272727</v>
      </c>
    </row>
    <row r="28" spans="2:15">
      <c r="B28" t="s">
        <v>139</v>
      </c>
      <c r="C28" s="33">
        <f>IFERROR('Historical FS'!C8/'Historical FS'!C50,0)</f>
        <v>1.8260578125151243</v>
      </c>
      <c r="D28" s="33">
        <f>IFERROR('Historical FS'!D8/'Historical FS'!D50,0)</f>
        <v>1.7411338296839738</v>
      </c>
      <c r="E28" s="33">
        <f>IFERROR('Historical FS'!E8/'Historical FS'!E50,0)</f>
        <v>1.4027525689129983</v>
      </c>
      <c r="F28" s="33">
        <f>IFERROR('Historical FS'!F8/'Historical FS'!F50,0)</f>
        <v>1.5708373505208859</v>
      </c>
      <c r="G28" s="33">
        <f>IFERROR('Historical FS'!G8/'Historical FS'!G50,0)</f>
        <v>1.7721893705562433</v>
      </c>
      <c r="H28" s="33">
        <f>IFERROR('Historical FS'!H8/'Historical FS'!H50,0)</f>
        <v>1.6237111454169133</v>
      </c>
      <c r="I28" s="33">
        <f>IFERROR('Historical FS'!I8/'Historical FS'!I50,0)</f>
        <v>1.41958971270513</v>
      </c>
      <c r="J28" s="33">
        <f>IFERROR('Historical FS'!J8/'Historical FS'!J50,0)</f>
        <v>1.6405576857632984</v>
      </c>
      <c r="K28" s="33">
        <f>IFERROR('Historical FS'!K8/'Historical FS'!K50,0)</f>
        <v>1.7060149755989467</v>
      </c>
      <c r="L28" s="33">
        <f>IFERROR('Historical FS'!L8/'Historical FS'!L50,0)</f>
        <v>1.8688426852608453</v>
      </c>
      <c r="N28" s="33">
        <f>IFERROR(AVERAGE(C28:L28),0)</f>
        <v>1.6571687136934361</v>
      </c>
      <c r="O28" s="33">
        <f>IFERROR(MEDIAN(C28:L28),0)</f>
        <v>1.6732863306811225</v>
      </c>
    </row>
    <row r="29" spans="2:15">
      <c r="B29" t="s">
        <v>140</v>
      </c>
      <c r="C29" s="33">
        <f>IFERROR('Historical FS'!C8/'Historical FS'!C60,0)</f>
        <v>6.7024426472225995</v>
      </c>
      <c r="D29" s="33">
        <f>IFERROR('Historical FS'!D8/'Historical FS'!D60,0)</f>
        <v>6.1247165505104322</v>
      </c>
      <c r="E29" s="33">
        <f>IFERROR('Historical FS'!E8/'Historical FS'!E60,0)</f>
        <v>5.4340235272254969</v>
      </c>
      <c r="F29" s="33">
        <f>IFERROR('Historical FS'!F8/'Historical FS'!F60,0)</f>
        <v>5.3239033614372708</v>
      </c>
      <c r="G29" s="33">
        <f>IFERROR('Historical FS'!G8/'Historical FS'!G60,0)</f>
        <v>6.3298764306822237</v>
      </c>
      <c r="H29" s="33">
        <f>IFERROR('Historical FS'!H8/'Historical FS'!H60,0)</f>
        <v>5.7356205321959557</v>
      </c>
      <c r="I29" s="33">
        <f>IFERROR('Historical FS'!I8/'Historical FS'!I60,0)</f>
        <v>5.6719966061295279</v>
      </c>
      <c r="J29" s="33">
        <f>IFERROR('Historical FS'!J8/'Historical FS'!J60,0)</f>
        <v>6.4267538281412726</v>
      </c>
      <c r="K29" s="33">
        <f>IFERROR('Historical FS'!K8/'Historical FS'!K60,0)</f>
        <v>6.4982913916416951</v>
      </c>
      <c r="L29" s="33">
        <f>IFERROR('Historical FS'!L8/'Historical FS'!L60,0)</f>
        <v>6.9351870510537204</v>
      </c>
      <c r="N29" s="33">
        <f>IFERROR(AVERAGE(C29:L29),0)</f>
        <v>6.1182811926240195</v>
      </c>
      <c r="O29" s="33">
        <f>IFERROR(MEDIAN(C29:L29),0)</f>
        <v>6.2272964905963279</v>
      </c>
    </row>
    <row r="30" spans="2:15">
      <c r="B30" t="s">
        <v>141</v>
      </c>
      <c r="C30" s="33">
        <f>IFERROR('Historical FS'!C5/'Historical FS'!C53,0)</f>
        <v>2.9742370802544178</v>
      </c>
      <c r="D30" s="33">
        <f>IFERROR('Historical FS'!D5/'Historical FS'!D53,0)</f>
        <v>2.546312771514708</v>
      </c>
      <c r="E30" s="33">
        <f>IFERROR('Historical FS'!E5/'Historical FS'!E53,0)</f>
        <v>2.8109343484246239</v>
      </c>
      <c r="F30" s="33">
        <f>IFERROR('Historical FS'!F5/'Historical FS'!F53,0)</f>
        <v>2.4012948768781421</v>
      </c>
      <c r="G30" s="33">
        <f>IFERROR('Historical FS'!G5/'Historical FS'!G53,0)</f>
        <v>2.7144319562092578</v>
      </c>
      <c r="H30" s="33">
        <f>IFERROR('Historical FS'!H5/'Historical FS'!H53,0)</f>
        <v>2.0539205744067566</v>
      </c>
      <c r="I30" s="33">
        <f>IFERROR('Historical FS'!I5/'Historical FS'!I53,0)</f>
        <v>1.8008727134726064</v>
      </c>
      <c r="J30" s="33">
        <f>IFERROR('Historical FS'!J5/'Historical FS'!J53,0)</f>
        <v>2.0053488717943728</v>
      </c>
      <c r="K30" s="33">
        <f>IFERROR('Historical FS'!K5/'Historical FS'!K53,0)</f>
        <v>2.6193791539294131</v>
      </c>
      <c r="L30" s="33">
        <f>IFERROR('Historical FS'!L5/'Historical FS'!L53,0)</f>
        <v>3.6107194547475023</v>
      </c>
      <c r="N30" s="33">
        <f>IFERROR(AVERAGE(C30:L30),0)</f>
        <v>2.5537451801631801</v>
      </c>
      <c r="O30" s="33">
        <f>IFERROR(MEDIAN(C30:L30),0)</f>
        <v>2.5828459627220606</v>
      </c>
    </row>
    <row r="31" spans="2:15">
      <c r="B31" s="27" t="s">
        <v>142</v>
      </c>
      <c r="C31" s="31">
        <f>IFERROR('Historical FS'!C5/SUM('Historical FS'!C47:C48),0)</f>
        <v>4.6773906756114965</v>
      </c>
      <c r="D31" s="31">
        <f>IFERROR('Historical FS'!D5/SUM('Historical FS'!D47:D48),0)</f>
        <v>3.4583567493379874</v>
      </c>
      <c r="E31" s="31">
        <f>IFERROR('Historical FS'!E5/SUM('Historical FS'!E47:E48),0)</f>
        <v>4.6449144180459854</v>
      </c>
      <c r="F31" s="31">
        <f>IFERROR('Historical FS'!F5/SUM('Historical FS'!F47:F48),0)</f>
        <v>3.0551908765475422</v>
      </c>
      <c r="G31" s="31">
        <f>IFERROR('Historical FS'!G5/SUM('Historical FS'!G47:G48),0)</f>
        <v>5.0172915853821474</v>
      </c>
      <c r="H31" s="31">
        <f>IFERROR('Historical FS'!H5/SUM('Historical FS'!H47:H48),0)</f>
        <v>4.1387770133514525</v>
      </c>
      <c r="I31" s="31">
        <f>IFERROR('Historical FS'!I5/SUM('Historical FS'!I47:I48),0)</f>
        <v>4.5214403678625628</v>
      </c>
      <c r="J31" s="31">
        <f>IFERROR('Historical FS'!J5/SUM('Historical FS'!J47:J48),0)</f>
        <v>6.2487852671963351</v>
      </c>
      <c r="K31" s="31">
        <f>IFERROR('Historical FS'!K5/SUM('Historical FS'!K47:K48),0)</f>
        <v>7.6335680916398054</v>
      </c>
      <c r="L31" s="31">
        <f>IFERROR('Historical FS'!L5/SUM('Historical FS'!L47:L48),0)</f>
        <v>5.1570652495194773</v>
      </c>
      <c r="N31" s="31">
        <f>IFERROR(AVERAGE(C31:L31),0)</f>
        <v>4.8552780294494795</v>
      </c>
      <c r="O31" s="31">
        <f>IFERROR(MEDIAN(C31:L31),0)</f>
        <v>4.6611525468287409</v>
      </c>
    </row>
    <row r="32" spans="2:15">
      <c r="C32" s="33"/>
      <c r="D32" s="33"/>
      <c r="E32" s="33"/>
      <c r="F32" s="33"/>
      <c r="G32" s="33"/>
      <c r="H32" s="33"/>
      <c r="I32" s="33"/>
      <c r="J32" s="33"/>
      <c r="K32" s="33"/>
      <c r="L32" s="33"/>
      <c r="N32" s="33"/>
      <c r="O32" s="33"/>
    </row>
    <row r="33" spans="2:15">
      <c r="B33" s="24" t="s">
        <v>143</v>
      </c>
      <c r="C33" s="34">
        <f>IFERROR(365/C27,0)</f>
        <v>17.447278447423685</v>
      </c>
      <c r="D33" s="34">
        <f t="shared" ref="D33:L33" si="4">IFERROR(365/D27,0)</f>
        <v>18.141226776772818</v>
      </c>
      <c r="E33" s="34">
        <f t="shared" si="4"/>
        <v>19.049753180019717</v>
      </c>
      <c r="F33" s="34">
        <f t="shared" si="4"/>
        <v>24.904964999543136</v>
      </c>
      <c r="G33" s="34">
        <f t="shared" si="4"/>
        <v>22.963631157878556</v>
      </c>
      <c r="H33" s="34">
        <f t="shared" si="4"/>
        <v>15.620575170519771</v>
      </c>
      <c r="I33" s="34">
        <f t="shared" si="4"/>
        <v>18.52666719376608</v>
      </c>
      <c r="J33" s="34">
        <f t="shared" si="4"/>
        <v>16.309264717046954</v>
      </c>
      <c r="K33" s="34">
        <f t="shared" si="4"/>
        <v>16.603778823163378</v>
      </c>
      <c r="L33" s="34">
        <f t="shared" si="4"/>
        <v>14.128838301348189</v>
      </c>
      <c r="N33" s="34">
        <f>IFERROR(AVERAGE(C33:L33),0)</f>
        <v>18.369597876748227</v>
      </c>
      <c r="O33" s="34">
        <f>IFERROR(MEDIAN(C33:L33),0)</f>
        <v>17.794252612098251</v>
      </c>
    </row>
    <row r="34" spans="2:15">
      <c r="B34" t="s">
        <v>144</v>
      </c>
      <c r="C34" s="35">
        <f>IFERROR(365/C28,0)</f>
        <v>199.88414249451748</v>
      </c>
      <c r="D34" s="35">
        <f t="shared" ref="D34:L34" si="5">IFERROR(365/D28,0)</f>
        <v>209.63351224199101</v>
      </c>
      <c r="E34" s="35">
        <f t="shared" si="5"/>
        <v>260.2026958202905</v>
      </c>
      <c r="F34" s="35">
        <f t="shared" si="5"/>
        <v>232.36014847684064</v>
      </c>
      <c r="G34" s="35">
        <f t="shared" si="5"/>
        <v>205.95993072988367</v>
      </c>
      <c r="H34" s="35">
        <f t="shared" si="5"/>
        <v>224.79367776112699</v>
      </c>
      <c r="I34" s="35">
        <f t="shared" si="5"/>
        <v>257.11654341624268</v>
      </c>
      <c r="J34" s="35">
        <f t="shared" si="5"/>
        <v>222.48531896650579</v>
      </c>
      <c r="K34" s="35">
        <f t="shared" si="5"/>
        <v>213.94888393160559</v>
      </c>
      <c r="L34" s="35">
        <f t="shared" si="5"/>
        <v>195.30803896907716</v>
      </c>
      <c r="N34" s="35">
        <f>IFERROR(AVERAGE(C34:L34),0)</f>
        <v>222.1692892808081</v>
      </c>
      <c r="O34" s="35">
        <f>IFERROR(MEDIAN(C34:L34),0)</f>
        <v>218.21710144905569</v>
      </c>
    </row>
    <row r="35" spans="2:15">
      <c r="B35" t="s">
        <v>145</v>
      </c>
      <c r="C35" s="35">
        <f>IFERROR(365/C29,0)</f>
        <v>54.457758046053705</v>
      </c>
      <c r="D35" s="35">
        <f t="shared" ref="D35:L35" si="6">IFERROR(365/D29,0)</f>
        <v>59.594594621620651</v>
      </c>
      <c r="E35" s="35">
        <f t="shared" si="6"/>
        <v>67.169381614061891</v>
      </c>
      <c r="F35" s="35">
        <f t="shared" si="6"/>
        <v>68.558720025575852</v>
      </c>
      <c r="G35" s="35">
        <f t="shared" si="6"/>
        <v>57.663052983272991</v>
      </c>
      <c r="H35" s="35">
        <f t="shared" si="6"/>
        <v>63.637403825991093</v>
      </c>
      <c r="I35" s="35">
        <f t="shared" si="6"/>
        <v>64.3512373765452</v>
      </c>
      <c r="J35" s="35">
        <f t="shared" si="6"/>
        <v>56.793835544431339</v>
      </c>
      <c r="K35" s="35">
        <f t="shared" si="6"/>
        <v>56.168610793519413</v>
      </c>
      <c r="L35" s="35">
        <f t="shared" si="6"/>
        <v>52.630159404935235</v>
      </c>
      <c r="N35" s="35">
        <f>IFERROR(AVERAGE(C35:L35),0)</f>
        <v>60.102475423600744</v>
      </c>
      <c r="O35" s="35">
        <f>IFERROR(MEDIAN(C35:L35),0)</f>
        <v>58.628823802446817</v>
      </c>
    </row>
    <row r="36" spans="2:15">
      <c r="B36" s="27" t="s">
        <v>149</v>
      </c>
      <c r="C36" s="36">
        <f>IFERROR(C33+C35-C34,0)</f>
        <v>-127.97910600104009</v>
      </c>
      <c r="D36" s="36">
        <f t="shared" ref="D36:L36" si="7">IFERROR(D33+D35-D34,0)</f>
        <v>-131.89769084359756</v>
      </c>
      <c r="E36" s="36">
        <f t="shared" si="7"/>
        <v>-173.98356102620889</v>
      </c>
      <c r="F36" s="36">
        <f t="shared" si="7"/>
        <v>-138.89646345172164</v>
      </c>
      <c r="G36" s="36">
        <f t="shared" si="7"/>
        <v>-125.33324658873212</v>
      </c>
      <c r="H36" s="36">
        <f t="shared" si="7"/>
        <v>-145.53569876461611</v>
      </c>
      <c r="I36" s="36">
        <f t="shared" si="7"/>
        <v>-174.2386388459314</v>
      </c>
      <c r="J36" s="36">
        <f t="shared" si="7"/>
        <v>-149.3822187050275</v>
      </c>
      <c r="K36" s="36">
        <f t="shared" si="7"/>
        <v>-141.17649431492282</v>
      </c>
      <c r="L36" s="36">
        <f t="shared" si="7"/>
        <v>-128.54904126279374</v>
      </c>
      <c r="N36" s="36">
        <f>IFERROR(AVERAGE(C36:L36),0)</f>
        <v>-143.69721598045916</v>
      </c>
      <c r="O36" s="36">
        <f>IFERROR(MEDIAN(C36:L36),0)</f>
        <v>-140.03647888332222</v>
      </c>
    </row>
    <row r="38" spans="2:15">
      <c r="B38" s="24" t="s">
        <v>146</v>
      </c>
      <c r="C38" s="29">
        <f>IFERROR('Historical FS'!C79/'Historical FS'!C5,0)</f>
        <v>0.12106750071762705</v>
      </c>
      <c r="D38" s="29">
        <f>IFERROR('Historical FS'!D79/'Historical FS'!D5,0)</f>
        <v>0.14360971207739662</v>
      </c>
      <c r="E38" s="29">
        <f>IFERROR('Historical FS'!E79/'Historical FS'!E5,0)</f>
        <v>0.12404497255040564</v>
      </c>
      <c r="F38" s="29">
        <f>IFERROR('Historical FS'!F79/'Historical FS'!F5,0)</f>
        <v>5.9759805574664121E-2</v>
      </c>
      <c r="G38" s="29">
        <f>IFERROR('Historical FS'!G79/'Historical FS'!G5,0)</f>
        <v>3.8653579670555313E-2</v>
      </c>
      <c r="H38" s="29">
        <f>IFERROR('Historical FS'!H79/'Historical FS'!H5,0)</f>
        <v>0.12141665635964458</v>
      </c>
      <c r="I38" s="29">
        <f>IFERROR('Historical FS'!I79/'Historical FS'!I5,0)</f>
        <v>0.11572300859005244</v>
      </c>
      <c r="J38" s="29">
        <f>IFERROR('Historical FS'!J79/'Historical FS'!J5,0)</f>
        <v>1.2684338598291522E-2</v>
      </c>
      <c r="K38" s="29">
        <f>IFERROR('Historical FS'!K79/'Historical FS'!K5,0)</f>
        <v>9.3248786148573667E-2</v>
      </c>
      <c r="L38" s="29">
        <f>IFERROR('Historical FS'!L79/'Historical FS'!L5,0)</f>
        <v>0.17181143821959496</v>
      </c>
      <c r="N38" s="23">
        <f>IFERROR(AVERAGE(C38:L38),0)</f>
        <v>0.10020197985068061</v>
      </c>
      <c r="O38" s="23">
        <f>IFERROR(MEDIAN(C38:L38),0)</f>
        <v>0.11839525465383974</v>
      </c>
    </row>
    <row r="39" spans="2:15">
      <c r="B39" t="s">
        <v>147</v>
      </c>
      <c r="C39" s="23">
        <f>IFERROR('Historical FS'!C79/'Historical FS'!C64,0)</f>
        <v>0.1342520624188657</v>
      </c>
      <c r="D39" s="23">
        <f>IFERROR('Historical FS'!D79/'Historical FS'!D64,0)</f>
        <v>0.14899075217760099</v>
      </c>
      <c r="E39" s="23">
        <f>IFERROR('Historical FS'!E79/'Historical FS'!E64,0)</f>
        <v>0.12273077928285075</v>
      </c>
      <c r="F39" s="23">
        <f>IFERROR('Historical FS'!F79/'Historical FS'!F64,0)</f>
        <v>5.3250110386320486E-2</v>
      </c>
      <c r="G39" s="23">
        <f>IFERROR('Historical FS'!G79/'Historical FS'!G64,0)</f>
        <v>3.8177516390146542E-2</v>
      </c>
      <c r="H39" s="23">
        <f>IFERROR('Historical FS'!H79/'Historical FS'!H64,0)</f>
        <v>9.9000750797857404E-2</v>
      </c>
      <c r="I39" s="23">
        <f>IFERROR('Historical FS'!I79/'Historical FS'!I64,0)</f>
        <v>8.4629819997903213E-2</v>
      </c>
      <c r="J39" s="23">
        <f>IFERROR('Historical FS'!J79/'Historical FS'!J64,0)</f>
        <v>1.073355621163692E-2</v>
      </c>
      <c r="K39" s="23">
        <f>IFERROR('Historical FS'!K79/'Historical FS'!K64,0)</f>
        <v>9.639517425935408E-2</v>
      </c>
      <c r="L39" s="23">
        <f>IFERROR('Historical FS'!L79/'Historical FS'!L64,0)</f>
        <v>0.2036178712738107</v>
      </c>
      <c r="N39" s="23">
        <f>IFERROR(AVERAGE(C39:L39),0)</f>
        <v>9.9177839319634684E-2</v>
      </c>
      <c r="O39" s="23">
        <f>IFERROR(MEDIAN(C39:L39),0)</f>
        <v>9.7697962528605742E-2</v>
      </c>
    </row>
    <row r="40" spans="2:15">
      <c r="B40" s="27" t="s">
        <v>148</v>
      </c>
      <c r="C40" s="30">
        <f>IFERROR('Historical FS'!C79/'Historical FS'!C49,0)</f>
        <v>0.43281933433581865</v>
      </c>
      <c r="D40" s="30">
        <f>IFERROR('Historical FS'!D79/'Historical FS'!D49,0)</f>
        <v>0.56534057978118779</v>
      </c>
      <c r="E40" s="30">
        <f>IFERROR('Historical FS'!E79/'Historical FS'!E49,0)</f>
        <v>0.42560185883717339</v>
      </c>
      <c r="F40" s="30">
        <f>IFERROR('Historical FS'!F79/'Historical FS'!F49,0)</f>
        <v>0.19587305159826587</v>
      </c>
      <c r="G40" s="30">
        <f>IFERROR('Historical FS'!G79/'Historical FS'!G49,0)</f>
        <v>0.1099219460940742</v>
      </c>
      <c r="H40" s="30">
        <f>IFERROR('Historical FS'!H79/'Historical FS'!H49,0)</f>
        <v>0.25401554192386361</v>
      </c>
      <c r="I40" s="30">
        <f>IFERROR('Historical FS'!I79/'Historical FS'!I49,0)</f>
        <v>0.20338341005738594</v>
      </c>
      <c r="J40" s="30">
        <f>IFERROR('Historical FS'!J79/'Historical FS'!J49,0)</f>
        <v>2.4117605968438302E-2</v>
      </c>
      <c r="K40" s="30">
        <f>IFERROR('Historical FS'!K79/'Historical FS'!K49,0)</f>
        <v>0.24055008953614193</v>
      </c>
      <c r="L40" s="30">
        <f>IFERROR('Historical FS'!L79/'Historical FS'!L49,0)</f>
        <v>0.70146602960027971</v>
      </c>
      <c r="N40" s="23">
        <f>IFERROR(AVERAGE(C40:L40),0)</f>
        <v>0.31530894477326293</v>
      </c>
      <c r="O40" s="23">
        <f>IFERROR(MEDIAN(C40:L40),0)</f>
        <v>0.24728281573000277</v>
      </c>
    </row>
  </sheetData>
  <mergeCells count="1">
    <mergeCell ref="B2:L2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91B47809-C0B4-2C48-BF5F-A9E2E69E53A5}">
          <x14:colorSeries rgb="FF002060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Analysis'!D5:L5</xm:f>
              <xm:sqref>M5</xm:sqref>
            </x14:sparkline>
            <x14:sparkline>
              <xm:f>'Ratio Analysis'!D6:L6</xm:f>
              <xm:sqref>M6</xm:sqref>
            </x14:sparkline>
            <x14:sparkline>
              <xm:f>'Ratio Analysis'!D7:L7</xm:f>
              <xm:sqref>M7</xm:sqref>
            </x14:sparkline>
            <x14:sparkline>
              <xm:f>'Ratio Analysis'!D8:L8</xm:f>
              <xm:sqref>M8</xm:sqref>
            </x14:sparkline>
            <x14:sparkline>
              <xm:f>'Ratio Analysis'!D9:L9</xm:f>
              <xm:sqref>M9</xm:sqref>
            </x14:sparkline>
            <x14:sparkline>
              <xm:f>'Ratio Analysis'!D10:L10</xm:f>
              <xm:sqref>M10</xm:sqref>
            </x14:sparkline>
            <x14:sparkline>
              <xm:f>'Ratio Analysis'!D11:L11</xm:f>
              <xm:sqref>M11</xm:sqref>
            </x14:sparkline>
            <x14:sparkline>
              <xm:f>'Ratio Analysis'!D12:L12</xm:f>
              <xm:sqref>M12</xm:sqref>
            </x14:sparkline>
            <x14:sparkline>
              <xm:f>'Ratio Analysis'!D13:L13</xm:f>
              <xm:sqref>M13</xm:sqref>
            </x14:sparkline>
            <x14:sparkline>
              <xm:f>'Ratio Analysis'!D14:L14</xm:f>
              <xm:sqref>M14</xm:sqref>
            </x14:sparkline>
            <x14:sparkline>
              <xm:f>'Ratio Analysis'!D15:L15</xm:f>
              <xm:sqref>M15</xm:sqref>
            </x14:sparkline>
            <x14:sparkline>
              <xm:f>'Ratio Analysis'!D16:L16</xm:f>
              <xm:sqref>M16</xm:sqref>
            </x14:sparkline>
            <x14:sparkline>
              <xm:f>'Ratio Analysis'!D17:L17</xm:f>
              <xm:sqref>M17</xm:sqref>
            </x14:sparkline>
            <x14:sparkline>
              <xm:f>'Ratio Analysis'!D18:L18</xm:f>
              <xm:sqref>M18</xm:sqref>
            </x14:sparkline>
            <x14:sparkline>
              <xm:f>'Ratio Analysis'!D19:L19</xm:f>
              <xm:sqref>M19</xm:sqref>
            </x14:sparkline>
            <x14:sparkline>
              <xm:f>'Ratio Analysis'!D20:L20</xm:f>
              <xm:sqref>M20</xm:sqref>
            </x14:sparkline>
            <x14:sparkline>
              <xm:f>'Ratio Analysis'!D21:L21</xm:f>
              <xm:sqref>M21</xm:sqref>
            </x14:sparkline>
            <x14:sparkline>
              <xm:f>'Ratio Analysis'!D22:L22</xm:f>
              <xm:sqref>M22</xm:sqref>
            </x14:sparkline>
            <x14:sparkline>
              <xm:f>'Ratio Analysis'!D23:L23</xm:f>
              <xm:sqref>M23</xm:sqref>
            </x14:sparkline>
            <x14:sparkline>
              <xm:f>'Ratio Analysis'!D24:L24</xm:f>
              <xm:sqref>M24</xm:sqref>
            </x14:sparkline>
            <x14:sparkline>
              <xm:f>'Ratio Analysis'!D25:L25</xm:f>
              <xm:sqref>M25</xm:sqref>
            </x14:sparkline>
            <x14:sparkline>
              <xm:f>'Ratio Analysis'!D26:L26</xm:f>
              <xm:sqref>M26</xm:sqref>
            </x14:sparkline>
            <x14:sparkline>
              <xm:f>'Ratio Analysis'!D27:L27</xm:f>
              <xm:sqref>M27</xm:sqref>
            </x14:sparkline>
            <x14:sparkline>
              <xm:f>'Ratio Analysis'!D28:L28</xm:f>
              <xm:sqref>M28</xm:sqref>
            </x14:sparkline>
            <x14:sparkline>
              <xm:f>'Ratio Analysis'!D29:L29</xm:f>
              <xm:sqref>M29</xm:sqref>
            </x14:sparkline>
            <x14:sparkline>
              <xm:f>'Ratio Analysis'!D30:L30</xm:f>
              <xm:sqref>M30</xm:sqref>
            </x14:sparkline>
            <x14:sparkline>
              <xm:f>'Ratio Analysis'!D31:L31</xm:f>
              <xm:sqref>M31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25BCD-C27F-DA4E-823D-BD7089A59DCA}">
  <dimension ref="B1:O30"/>
  <sheetViews>
    <sheetView showGridLines="0" zoomScale="150" zoomScaleNormal="100" workbookViewId="0">
      <selection activeCell="C3" sqref="C3:C19"/>
    </sheetView>
  </sheetViews>
  <sheetFormatPr baseColWidth="10" defaultRowHeight="14"/>
  <cols>
    <col min="1" max="1" width="2.59765625" customWidth="1"/>
    <col min="2" max="2" width="11.59765625" bestFit="1" customWidth="1"/>
    <col min="3" max="3" width="6.59765625" bestFit="1" customWidth="1"/>
    <col min="4" max="4" width="12.19921875" customWidth="1"/>
    <col min="7" max="7" width="19.59765625" bestFit="1" customWidth="1"/>
    <col min="8" max="8" width="12.59765625" bestFit="1" customWidth="1"/>
    <col min="9" max="9" width="14.19921875" bestFit="1" customWidth="1"/>
    <col min="10" max="11" width="12.59765625" bestFit="1" customWidth="1"/>
    <col min="12" max="12" width="14" bestFit="1" customWidth="1"/>
    <col min="13" max="13" width="12.59765625" bestFit="1" customWidth="1"/>
    <col min="14" max="15" width="13" bestFit="1" customWidth="1"/>
  </cols>
  <sheetData>
    <row r="1" spans="2:10">
      <c r="B1" s="99" t="s">
        <v>155</v>
      </c>
      <c r="C1" s="99"/>
      <c r="D1" s="99"/>
      <c r="E1" s="99"/>
      <c r="G1" s="100"/>
      <c r="H1" s="100"/>
      <c r="I1" s="100"/>
      <c r="J1" s="100"/>
    </row>
    <row r="2" spans="2:10">
      <c r="B2" s="39" t="s">
        <v>153</v>
      </c>
      <c r="C2" s="39" t="s">
        <v>154</v>
      </c>
      <c r="D2" s="39" t="s">
        <v>12</v>
      </c>
      <c r="E2" s="39" t="s">
        <v>58</v>
      </c>
      <c r="G2" s="43"/>
      <c r="H2" s="43"/>
      <c r="I2" s="41"/>
      <c r="J2" s="38"/>
    </row>
    <row r="3" spans="2:10">
      <c r="B3" s="40">
        <v>1</v>
      </c>
      <c r="C3" s="45">
        <v>2013</v>
      </c>
      <c r="D3" s="41">
        <v>188793</v>
      </c>
      <c r="G3" s="43"/>
      <c r="H3" s="43"/>
      <c r="I3" s="41"/>
      <c r="J3" s="38"/>
    </row>
    <row r="4" spans="2:10">
      <c r="B4" s="40">
        <f>B3+1</f>
        <v>2</v>
      </c>
      <c r="C4" s="45">
        <f>C3+1</f>
        <v>2014</v>
      </c>
      <c r="D4" s="41">
        <v>232834</v>
      </c>
      <c r="E4" s="23">
        <f>D4/D3-1</f>
        <v>0.23327665750319126</v>
      </c>
      <c r="G4" s="43"/>
      <c r="H4" s="43"/>
      <c r="I4" s="41"/>
      <c r="J4" s="44"/>
    </row>
    <row r="5" spans="2:10">
      <c r="B5" s="40">
        <f t="shared" ref="B5:B13" si="0">B4+1</f>
        <v>3</v>
      </c>
      <c r="C5" s="45">
        <f t="shared" ref="C5:C14" si="1">C4+1</f>
        <v>2015</v>
      </c>
      <c r="D5" s="41">
        <v>263159</v>
      </c>
      <c r="E5" s="23">
        <f t="shared" ref="E5:E19" si="2">D5/D4-1</f>
        <v>0.13024300574658332</v>
      </c>
      <c r="G5" s="43"/>
      <c r="H5" s="43"/>
      <c r="I5" s="41"/>
      <c r="J5" s="44"/>
    </row>
    <row r="6" spans="2:10">
      <c r="B6" s="40">
        <f t="shared" si="0"/>
        <v>4</v>
      </c>
      <c r="C6" s="45">
        <f t="shared" si="1"/>
        <v>2016</v>
      </c>
      <c r="D6" s="41">
        <v>273046</v>
      </c>
      <c r="E6" s="23">
        <f t="shared" si="2"/>
        <v>3.757044220414274E-2</v>
      </c>
      <c r="G6" s="43"/>
      <c r="H6" s="43"/>
      <c r="I6" s="41"/>
      <c r="J6" s="44"/>
    </row>
    <row r="7" spans="2:10">
      <c r="B7" s="40">
        <f t="shared" si="0"/>
        <v>5</v>
      </c>
      <c r="C7" s="45">
        <f t="shared" si="1"/>
        <v>2017</v>
      </c>
      <c r="D7" s="41">
        <v>269693</v>
      </c>
      <c r="E7" s="23">
        <f t="shared" si="2"/>
        <v>-1.2279982127553546E-2</v>
      </c>
      <c r="G7" s="43"/>
      <c r="H7" s="43"/>
      <c r="I7" s="41"/>
      <c r="J7" s="44"/>
    </row>
    <row r="8" spans="2:10">
      <c r="B8" s="40">
        <f t="shared" si="0"/>
        <v>6</v>
      </c>
      <c r="C8" s="45">
        <f t="shared" si="1"/>
        <v>2018</v>
      </c>
      <c r="D8" s="41">
        <v>291550</v>
      </c>
      <c r="E8" s="23">
        <f t="shared" si="2"/>
        <v>8.1044001883623151E-2</v>
      </c>
      <c r="G8" s="43"/>
      <c r="H8" s="43"/>
      <c r="I8" s="41"/>
      <c r="J8" s="44"/>
    </row>
    <row r="9" spans="2:10">
      <c r="B9" s="40">
        <f t="shared" si="0"/>
        <v>7</v>
      </c>
      <c r="C9" s="45">
        <f t="shared" si="1"/>
        <v>2019</v>
      </c>
      <c r="D9" s="41">
        <v>301938</v>
      </c>
      <c r="E9" s="23">
        <f t="shared" si="2"/>
        <v>3.5630252100840254E-2</v>
      </c>
      <c r="G9" s="43"/>
      <c r="H9" s="43"/>
      <c r="I9" s="41"/>
      <c r="J9" s="44"/>
    </row>
    <row r="10" spans="2:10">
      <c r="B10" s="40">
        <f t="shared" si="0"/>
        <v>8</v>
      </c>
      <c r="C10" s="45">
        <f t="shared" si="1"/>
        <v>2020</v>
      </c>
      <c r="D10" s="41">
        <v>261068</v>
      </c>
      <c r="E10" s="23">
        <f t="shared" si="2"/>
        <v>-0.13535891474408657</v>
      </c>
      <c r="G10" s="43"/>
      <c r="H10" s="43"/>
      <c r="I10" s="41"/>
      <c r="J10" s="44"/>
    </row>
    <row r="11" spans="2:10">
      <c r="B11" s="40">
        <f t="shared" si="0"/>
        <v>9</v>
      </c>
      <c r="C11" s="45">
        <f t="shared" si="1"/>
        <v>2021</v>
      </c>
      <c r="D11" s="41">
        <v>249795</v>
      </c>
      <c r="E11" s="23">
        <f t="shared" si="2"/>
        <v>-4.3180320835950803E-2</v>
      </c>
      <c r="G11" s="43"/>
      <c r="H11" s="43"/>
      <c r="I11" s="41"/>
      <c r="J11" s="44"/>
    </row>
    <row r="12" spans="2:10">
      <c r="B12" s="40">
        <f t="shared" si="0"/>
        <v>10</v>
      </c>
      <c r="C12" s="45">
        <f t="shared" si="1"/>
        <v>2022</v>
      </c>
      <c r="D12" s="41">
        <v>278454</v>
      </c>
      <c r="E12" s="23">
        <f t="shared" si="2"/>
        <v>0.11473007866450491</v>
      </c>
      <c r="G12" s="43"/>
      <c r="H12" s="43"/>
      <c r="I12" s="41"/>
      <c r="J12" s="44"/>
    </row>
    <row r="13" spans="2:10">
      <c r="B13" s="40">
        <f t="shared" si="0"/>
        <v>11</v>
      </c>
      <c r="C13" s="45">
        <f t="shared" si="1"/>
        <v>2023</v>
      </c>
      <c r="D13" s="41">
        <v>345967</v>
      </c>
      <c r="E13" s="23">
        <f t="shared" si="2"/>
        <v>0.24245656374122837</v>
      </c>
      <c r="G13" t="s">
        <v>157</v>
      </c>
    </row>
    <row r="14" spans="2:10" ht="15" thickBot="1">
      <c r="B14" s="40">
        <f>B13+1</f>
        <v>12</v>
      </c>
      <c r="C14" s="45">
        <f t="shared" si="1"/>
        <v>2024</v>
      </c>
      <c r="D14" s="41">
        <v>437928</v>
      </c>
      <c r="E14" s="23">
        <f t="shared" si="2"/>
        <v>0.26580858868042334</v>
      </c>
    </row>
    <row r="15" spans="2:10">
      <c r="B15" s="40">
        <f t="shared" ref="B15:B19" si="3">B14+1</f>
        <v>13</v>
      </c>
      <c r="C15" s="46">
        <f t="shared" ref="C15:C19" si="4">C14+1</f>
        <v>2025</v>
      </c>
      <c r="D15" s="50">
        <f>FORECAST(B15,$D$3:$D$14,$B$3:$B$14)</f>
        <v>367715.83333333331</v>
      </c>
      <c r="E15" s="23">
        <f t="shared" si="2"/>
        <v>-0.16032810568556177</v>
      </c>
      <c r="G15" s="49" t="s">
        <v>158</v>
      </c>
      <c r="H15" s="49"/>
    </row>
    <row r="16" spans="2:10">
      <c r="B16" s="40">
        <f t="shared" si="3"/>
        <v>14</v>
      </c>
      <c r="C16" s="46">
        <f t="shared" si="4"/>
        <v>2026</v>
      </c>
      <c r="D16" s="50">
        <f t="shared" ref="D16:D19" si="5">FORECAST(B16,$D$3:$D$14,$B$3:$B$14)</f>
        <v>380771.79487179487</v>
      </c>
      <c r="E16" s="23">
        <f t="shared" si="2"/>
        <v>3.5505573475337338E-2</v>
      </c>
      <c r="G16" t="s">
        <v>159</v>
      </c>
      <c r="H16">
        <v>0.68987312172798032</v>
      </c>
    </row>
    <row r="17" spans="2:15">
      <c r="B17" s="40">
        <f t="shared" si="3"/>
        <v>15</v>
      </c>
      <c r="C17" s="46">
        <f t="shared" si="4"/>
        <v>2027</v>
      </c>
      <c r="D17" s="50">
        <f t="shared" si="5"/>
        <v>393827.75641025638</v>
      </c>
      <c r="E17" s="23">
        <f t="shared" si="2"/>
        <v>3.4288152941730932E-2</v>
      </c>
      <c r="G17" t="s">
        <v>160</v>
      </c>
      <c r="H17">
        <v>0.47592492408270876</v>
      </c>
    </row>
    <row r="18" spans="2:15">
      <c r="B18" s="40">
        <f t="shared" si="3"/>
        <v>16</v>
      </c>
      <c r="C18" s="46">
        <f t="shared" si="4"/>
        <v>2028</v>
      </c>
      <c r="D18" s="50">
        <f t="shared" si="5"/>
        <v>406883.71794871794</v>
      </c>
      <c r="E18" s="23">
        <f t="shared" si="2"/>
        <v>3.3151450922268122E-2</v>
      </c>
      <c r="G18" t="s">
        <v>161</v>
      </c>
      <c r="H18">
        <v>0.41769436009189864</v>
      </c>
    </row>
    <row r="19" spans="2:15">
      <c r="B19" s="40">
        <f t="shared" si="3"/>
        <v>17</v>
      </c>
      <c r="C19" s="46">
        <f t="shared" si="4"/>
        <v>2029</v>
      </c>
      <c r="D19" s="50">
        <f t="shared" si="5"/>
        <v>419939.6794871795</v>
      </c>
      <c r="E19" s="23">
        <f t="shared" si="2"/>
        <v>3.2087697203226684E-2</v>
      </c>
      <c r="G19" t="s">
        <v>162</v>
      </c>
      <c r="H19">
        <v>43444.720548431578</v>
      </c>
    </row>
    <row r="20" spans="2:15" ht="15" thickBot="1">
      <c r="D20" s="23"/>
      <c r="G20" s="47" t="s">
        <v>163</v>
      </c>
      <c r="H20" s="47">
        <v>11</v>
      </c>
    </row>
    <row r="22" spans="2:15" ht="15" thickBot="1">
      <c r="B22" s="40">
        <v>13</v>
      </c>
      <c r="C22" s="46">
        <v>2025</v>
      </c>
      <c r="D22" s="50">
        <f>$H$29+B22*$H$30</f>
        <v>362456.4363636364</v>
      </c>
      <c r="E22" s="23">
        <f>E15</f>
        <v>-0.16032810568556177</v>
      </c>
      <c r="G22" t="s">
        <v>164</v>
      </c>
    </row>
    <row r="23" spans="2:15">
      <c r="B23" s="40">
        <v>14</v>
      </c>
      <c r="C23" s="46">
        <v>2026</v>
      </c>
      <c r="D23" s="50">
        <f t="shared" ref="D23:D26" si="6">$H$29+B23*$H$30</f>
        <v>374298.69090909092</v>
      </c>
      <c r="E23" s="23">
        <f t="shared" ref="E23:E26" si="7">D23/D22-1</f>
        <v>3.2672214802591304E-2</v>
      </c>
      <c r="G23" s="48"/>
      <c r="H23" s="48" t="s">
        <v>168</v>
      </c>
      <c r="I23" s="48" t="s">
        <v>169</v>
      </c>
      <c r="J23" s="48" t="s">
        <v>170</v>
      </c>
      <c r="K23" s="48" t="s">
        <v>171</v>
      </c>
      <c r="L23" s="48" t="s">
        <v>172</v>
      </c>
    </row>
    <row r="24" spans="2:15">
      <c r="B24" s="40">
        <v>15</v>
      </c>
      <c r="C24" s="46">
        <v>2027</v>
      </c>
      <c r="D24" s="50">
        <f t="shared" si="6"/>
        <v>386140.94545454544</v>
      </c>
      <c r="E24" s="23">
        <f t="shared" si="7"/>
        <v>3.1638514462052347E-2</v>
      </c>
      <c r="G24" t="s">
        <v>165</v>
      </c>
      <c r="H24">
        <v>1</v>
      </c>
      <c r="I24">
        <v>15426289199.12727</v>
      </c>
      <c r="J24">
        <v>15426289199.12727</v>
      </c>
      <c r="K24">
        <v>8.1731120474433059</v>
      </c>
      <c r="L24">
        <v>1.8815166962421904E-2</v>
      </c>
    </row>
    <row r="25" spans="2:15">
      <c r="B25" s="40">
        <v>16</v>
      </c>
      <c r="C25" s="46">
        <v>2028</v>
      </c>
      <c r="D25" s="50">
        <f t="shared" si="6"/>
        <v>397983.19999999995</v>
      </c>
      <c r="E25" s="23">
        <f t="shared" si="7"/>
        <v>3.0668217615498872E-2</v>
      </c>
      <c r="G25" t="s">
        <v>166</v>
      </c>
      <c r="H25">
        <v>9</v>
      </c>
      <c r="I25">
        <v>16986993691.781818</v>
      </c>
      <c r="J25">
        <v>1887443743.5313132</v>
      </c>
    </row>
    <row r="26" spans="2:15" ht="15" thickBot="1">
      <c r="B26" s="40">
        <v>17</v>
      </c>
      <c r="C26" s="46">
        <v>2029</v>
      </c>
      <c r="D26" s="50">
        <f t="shared" si="6"/>
        <v>409825.45454545453</v>
      </c>
      <c r="E26" s="23">
        <f t="shared" si="7"/>
        <v>2.9755664423660511E-2</v>
      </c>
      <c r="G26" s="47" t="s">
        <v>35</v>
      </c>
      <c r="H26" s="47">
        <v>10</v>
      </c>
      <c r="I26" s="47">
        <v>32413282890.909088</v>
      </c>
      <c r="J26" s="47"/>
      <c r="K26" s="47"/>
      <c r="L26" s="47"/>
    </row>
    <row r="27" spans="2:15" ht="15" thickBot="1"/>
    <row r="28" spans="2:15">
      <c r="G28" s="48"/>
      <c r="H28" s="48" t="s">
        <v>173</v>
      </c>
      <c r="I28" s="48" t="s">
        <v>162</v>
      </c>
      <c r="J28" s="48" t="s">
        <v>174</v>
      </c>
      <c r="K28" s="48" t="s">
        <v>175</v>
      </c>
      <c r="L28" s="48" t="s">
        <v>176</v>
      </c>
      <c r="M28" s="48" t="s">
        <v>177</v>
      </c>
      <c r="N28" s="48" t="s">
        <v>178</v>
      </c>
      <c r="O28" s="48" t="s">
        <v>179</v>
      </c>
    </row>
    <row r="29" spans="2:15">
      <c r="G29" t="s">
        <v>167</v>
      </c>
      <c r="H29">
        <v>208507.12727272732</v>
      </c>
      <c r="I29">
        <v>31817.545312488361</v>
      </c>
      <c r="J29">
        <v>6.5532122363596805</v>
      </c>
      <c r="K29">
        <v>1.0478105499632877E-4</v>
      </c>
      <c r="L29">
        <v>136530.8392414253</v>
      </c>
      <c r="M29">
        <v>280483.4153040293</v>
      </c>
      <c r="N29">
        <v>136530.8392414253</v>
      </c>
      <c r="O29">
        <v>280483.4153040293</v>
      </c>
    </row>
    <row r="30" spans="2:15" ht="15" thickBot="1">
      <c r="G30" s="47">
        <v>1</v>
      </c>
      <c r="H30" s="47">
        <v>11842.254545454542</v>
      </c>
      <c r="I30" s="47">
        <v>4142.2915743158774</v>
      </c>
      <c r="J30" s="47">
        <v>2.8588655175512012</v>
      </c>
      <c r="K30" s="47">
        <v>1.8815166962421945E-2</v>
      </c>
      <c r="L30" s="47">
        <v>2471.7399902172251</v>
      </c>
      <c r="M30" s="47">
        <v>21212.769100691858</v>
      </c>
      <c r="N30" s="47">
        <v>2471.7399902172251</v>
      </c>
      <c r="O30" s="47">
        <v>21212.769100691858</v>
      </c>
    </row>
  </sheetData>
  <mergeCells count="2">
    <mergeCell ref="B1:E1"/>
    <mergeCell ref="G1:J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9DA71-9222-884B-B3F8-F5768083842B}">
  <dimension ref="B1:R20"/>
  <sheetViews>
    <sheetView showGridLines="0" zoomScale="163" workbookViewId="0">
      <selection activeCell="G11" sqref="G11"/>
    </sheetView>
  </sheetViews>
  <sheetFormatPr baseColWidth="10" defaultRowHeight="14"/>
  <cols>
    <col min="1" max="1" width="2.19921875" customWidth="1"/>
  </cols>
  <sheetData>
    <row r="1" spans="2:18">
      <c r="B1" s="100" t="s">
        <v>156</v>
      </c>
      <c r="C1" s="100"/>
      <c r="D1" s="100"/>
      <c r="E1" s="100"/>
    </row>
    <row r="2" spans="2:18">
      <c r="B2" s="42" t="s">
        <v>153</v>
      </c>
      <c r="C2" s="42" t="s">
        <v>154</v>
      </c>
      <c r="D2" s="42" t="s">
        <v>12</v>
      </c>
      <c r="E2" s="42" t="s">
        <v>58</v>
      </c>
      <c r="G2" s="20">
        <v>46375</v>
      </c>
      <c r="H2" s="20">
        <v>54947</v>
      </c>
      <c r="I2" s="20">
        <v>64465</v>
      </c>
      <c r="J2" s="20">
        <v>34008</v>
      </c>
      <c r="K2" s="20">
        <v>36533</v>
      </c>
      <c r="L2" s="20">
        <v>35924</v>
      </c>
      <c r="M2" s="20">
        <v>40379</v>
      </c>
      <c r="N2" s="20">
        <v>43403</v>
      </c>
      <c r="O2" s="20">
        <v>39537</v>
      </c>
      <c r="P2" s="20">
        <v>69420</v>
      </c>
      <c r="Q2" s="20">
        <v>127540</v>
      </c>
      <c r="R2" s="20">
        <v>96421</v>
      </c>
    </row>
    <row r="3" spans="2:18">
      <c r="B3" s="43">
        <v>1</v>
      </c>
      <c r="C3" s="51">
        <v>2013</v>
      </c>
      <c r="D3" s="41">
        <v>46375</v>
      </c>
      <c r="E3" s="38"/>
    </row>
    <row r="4" spans="2:18">
      <c r="B4" s="43">
        <f>B3+1</f>
        <v>2</v>
      </c>
      <c r="C4" s="51">
        <f>C3+1</f>
        <v>2014</v>
      </c>
      <c r="D4" s="41">
        <v>54947</v>
      </c>
      <c r="E4" s="44">
        <f>D4/D3-1</f>
        <v>0.18484097035040437</v>
      </c>
    </row>
    <row r="5" spans="2:18">
      <c r="B5" s="43">
        <f t="shared" ref="B5:C14" si="0">B4+1</f>
        <v>3</v>
      </c>
      <c r="C5" s="51">
        <f t="shared" si="0"/>
        <v>2015</v>
      </c>
      <c r="D5" s="41">
        <v>64465</v>
      </c>
      <c r="E5" s="44">
        <f t="shared" ref="E5:E19" si="1">D5/D4-1</f>
        <v>0.17322146796003413</v>
      </c>
    </row>
    <row r="6" spans="2:18">
      <c r="B6" s="43">
        <f t="shared" si="0"/>
        <v>4</v>
      </c>
      <c r="C6" s="51">
        <f t="shared" si="0"/>
        <v>2016</v>
      </c>
      <c r="D6" s="41">
        <v>34008</v>
      </c>
      <c r="E6" s="44">
        <f t="shared" si="1"/>
        <v>-0.47245792290390132</v>
      </c>
    </row>
    <row r="7" spans="2:18">
      <c r="B7" s="43">
        <f t="shared" si="0"/>
        <v>5</v>
      </c>
      <c r="C7" s="51">
        <f t="shared" si="0"/>
        <v>2017</v>
      </c>
      <c r="D7" s="41">
        <v>36533</v>
      </c>
      <c r="E7" s="44">
        <f t="shared" si="1"/>
        <v>7.424723594448368E-2</v>
      </c>
    </row>
    <row r="8" spans="2:18">
      <c r="B8" s="43">
        <f t="shared" si="0"/>
        <v>6</v>
      </c>
      <c r="C8" s="51">
        <f t="shared" si="0"/>
        <v>2018</v>
      </c>
      <c r="D8" s="41">
        <v>35924</v>
      </c>
      <c r="E8" s="44">
        <f t="shared" si="1"/>
        <v>-1.6669860126460989E-2</v>
      </c>
    </row>
    <row r="9" spans="2:18">
      <c r="B9" s="43">
        <f t="shared" si="0"/>
        <v>7</v>
      </c>
      <c r="C9" s="51">
        <f t="shared" si="0"/>
        <v>2019</v>
      </c>
      <c r="D9" s="41">
        <v>40379</v>
      </c>
      <c r="E9" s="44">
        <f t="shared" si="1"/>
        <v>0.12401180269457734</v>
      </c>
    </row>
    <row r="10" spans="2:18">
      <c r="B10" s="43">
        <f t="shared" si="0"/>
        <v>8</v>
      </c>
      <c r="C10" s="51">
        <f t="shared" si="0"/>
        <v>2020</v>
      </c>
      <c r="D10" s="41">
        <v>43403</v>
      </c>
      <c r="E10" s="44">
        <f t="shared" si="1"/>
        <v>7.4890413333663641E-2</v>
      </c>
    </row>
    <row r="11" spans="2:18">
      <c r="B11" s="43">
        <f t="shared" si="0"/>
        <v>9</v>
      </c>
      <c r="C11" s="51">
        <f t="shared" si="0"/>
        <v>2021</v>
      </c>
      <c r="D11" s="41">
        <v>39537</v>
      </c>
      <c r="E11" s="44">
        <f t="shared" si="1"/>
        <v>-8.907218395041816E-2</v>
      </c>
    </row>
    <row r="12" spans="2:18">
      <c r="B12" s="43">
        <f t="shared" si="0"/>
        <v>10</v>
      </c>
      <c r="C12" s="51">
        <f t="shared" si="0"/>
        <v>2022</v>
      </c>
      <c r="D12" s="41">
        <v>69420</v>
      </c>
      <c r="E12" s="44">
        <f t="shared" si="1"/>
        <v>0.75582365885120262</v>
      </c>
    </row>
    <row r="13" spans="2:18">
      <c r="B13" s="43">
        <f t="shared" si="0"/>
        <v>11</v>
      </c>
      <c r="C13" s="51">
        <f t="shared" si="0"/>
        <v>2023</v>
      </c>
      <c r="D13" s="41">
        <v>127540</v>
      </c>
      <c r="E13" s="44">
        <f t="shared" si="1"/>
        <v>0.83722270239124175</v>
      </c>
    </row>
    <row r="14" spans="2:18">
      <c r="B14" s="43">
        <f>B13+1</f>
        <v>12</v>
      </c>
      <c r="C14" s="51">
        <f t="shared" si="0"/>
        <v>2024</v>
      </c>
      <c r="D14" s="41">
        <v>96421</v>
      </c>
      <c r="E14" s="44">
        <f t="shared" si="1"/>
        <v>-0.24399404108514977</v>
      </c>
    </row>
    <row r="15" spans="2:18">
      <c r="B15" s="43">
        <f t="shared" ref="B15:C19" si="2">B14+1</f>
        <v>13</v>
      </c>
      <c r="C15" s="52">
        <f t="shared" si="2"/>
        <v>2025</v>
      </c>
      <c r="D15" s="50">
        <f>FORECAST(B15,$D$3:$D$14,$B$3:$B$14)</f>
        <v>86758.984848484848</v>
      </c>
      <c r="E15" s="23">
        <f t="shared" si="1"/>
        <v>-0.10020654371470061</v>
      </c>
    </row>
    <row r="16" spans="2:18">
      <c r="B16" s="43">
        <f t="shared" si="2"/>
        <v>14</v>
      </c>
      <c r="C16" s="52">
        <f t="shared" si="2"/>
        <v>2026</v>
      </c>
      <c r="D16" s="50">
        <f t="shared" ref="D16:D19" si="3">FORECAST(B16,$D$3:$D$14,$B$3:$B$14)</f>
        <v>91273.803030303025</v>
      </c>
      <c r="E16" s="23">
        <f t="shared" si="1"/>
        <v>5.2038623892416647E-2</v>
      </c>
    </row>
    <row r="17" spans="2:5">
      <c r="B17" s="43">
        <f t="shared" si="2"/>
        <v>15</v>
      </c>
      <c r="C17" s="52">
        <f t="shared" si="2"/>
        <v>2027</v>
      </c>
      <c r="D17" s="50">
        <f t="shared" si="3"/>
        <v>95788.621212121216</v>
      </c>
      <c r="E17" s="23">
        <f t="shared" si="1"/>
        <v>4.9464556443640895E-2</v>
      </c>
    </row>
    <row r="18" spans="2:5">
      <c r="B18" s="43">
        <f t="shared" si="2"/>
        <v>16</v>
      </c>
      <c r="C18" s="52">
        <f t="shared" si="2"/>
        <v>2028</v>
      </c>
      <c r="D18" s="50">
        <f t="shared" si="3"/>
        <v>100303.43939393939</v>
      </c>
      <c r="E18" s="23">
        <f t="shared" si="1"/>
        <v>4.7133136740952208E-2</v>
      </c>
    </row>
    <row r="19" spans="2:5">
      <c r="B19" s="43">
        <f t="shared" si="2"/>
        <v>17</v>
      </c>
      <c r="C19" s="52">
        <f t="shared" si="2"/>
        <v>2029</v>
      </c>
      <c r="D19" s="50">
        <f t="shared" si="3"/>
        <v>104818.25757575757</v>
      </c>
      <c r="E19" s="23">
        <f t="shared" si="1"/>
        <v>4.5011598895291494E-2</v>
      </c>
    </row>
    <row r="20" spans="2:5">
      <c r="B20" s="38"/>
      <c r="C20" s="38"/>
      <c r="D20" s="44"/>
      <c r="E20" s="38"/>
    </row>
  </sheetData>
  <mergeCells count="1">
    <mergeCell ref="B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0DA01-FF81-494E-B98A-F4ED897E73EF}">
  <dimension ref="B5:Q45"/>
  <sheetViews>
    <sheetView showGridLines="0" topLeftCell="A25" zoomScale="164" zoomScaleNormal="206" workbookViewId="0">
      <selection activeCell="C47" sqref="C47"/>
    </sheetView>
  </sheetViews>
  <sheetFormatPr baseColWidth="10" defaultRowHeight="14"/>
  <cols>
    <col min="1" max="1" width="2.59765625" customWidth="1"/>
    <col min="2" max="2" width="39.3984375" customWidth="1"/>
    <col min="4" max="4" width="13.3984375" customWidth="1"/>
    <col min="11" max="11" width="11.19921875" customWidth="1"/>
  </cols>
  <sheetData>
    <row r="5" spans="2:17">
      <c r="B5" s="61" t="s">
        <v>180</v>
      </c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</row>
    <row r="7" spans="2:17">
      <c r="B7" t="s">
        <v>181</v>
      </c>
    </row>
    <row r="9" spans="2:17">
      <c r="B9" s="62" t="s">
        <v>182</v>
      </c>
      <c r="C9" s="62"/>
      <c r="D9" s="62"/>
      <c r="E9" s="62"/>
      <c r="F9" s="62"/>
      <c r="G9" s="62"/>
      <c r="H9" s="62"/>
      <c r="I9" s="62"/>
      <c r="J9" s="62"/>
      <c r="K9" s="62"/>
    </row>
    <row r="10" spans="2:17">
      <c r="H10" t="s">
        <v>188</v>
      </c>
      <c r="I10" t="s">
        <v>190</v>
      </c>
      <c r="J10" t="s">
        <v>192</v>
      </c>
      <c r="K10" t="s">
        <v>193</v>
      </c>
    </row>
    <row r="11" spans="2:17" ht="16">
      <c r="B11" s="63" t="s">
        <v>183</v>
      </c>
      <c r="C11" s="63" t="s">
        <v>184</v>
      </c>
      <c r="D11" s="63"/>
      <c r="E11" s="63" t="s">
        <v>185</v>
      </c>
      <c r="F11" s="63" t="s">
        <v>186</v>
      </c>
      <c r="G11" s="63" t="s">
        <v>187</v>
      </c>
      <c r="H11" s="64" t="s">
        <v>189</v>
      </c>
      <c r="I11" s="64" t="s">
        <v>191</v>
      </c>
      <c r="J11" s="64" t="s">
        <v>194</v>
      </c>
      <c r="K11" s="64" t="s">
        <v>195</v>
      </c>
    </row>
    <row r="13" spans="2:17">
      <c r="B13" s="65" t="s">
        <v>196</v>
      </c>
      <c r="C13" s="65" t="s">
        <v>201</v>
      </c>
      <c r="D13" s="65"/>
      <c r="E13" s="87">
        <v>1139</v>
      </c>
      <c r="F13" s="87">
        <v>611503.89</v>
      </c>
      <c r="G13" s="67">
        <v>0.3</v>
      </c>
      <c r="H13" s="86">
        <f>E13/F13</f>
        <v>1.8626210211025803E-3</v>
      </c>
      <c r="I13" s="86">
        <f>E13/(E13+F13)</f>
        <v>1.8591581141176713E-3</v>
      </c>
      <c r="J13" s="88">
        <v>1</v>
      </c>
      <c r="K13" s="89">
        <f>J13/(1+(1-G13)*H13)</f>
        <v>0.99869786305657837</v>
      </c>
    </row>
    <row r="14" spans="2:17">
      <c r="B14" s="65" t="s">
        <v>197</v>
      </c>
      <c r="C14" s="65" t="s">
        <v>201</v>
      </c>
      <c r="D14" s="65"/>
      <c r="E14" s="87">
        <v>279.93</v>
      </c>
      <c r="F14" s="87">
        <v>182975.03</v>
      </c>
      <c r="G14" s="67">
        <v>0.3</v>
      </c>
      <c r="H14" s="86">
        <f t="shared" ref="H14:H17" si="0">E14/F14</f>
        <v>1.5298808804676792E-3</v>
      </c>
      <c r="I14" s="86">
        <f t="shared" ref="I14:I17" si="1">E14/(E14+F14)</f>
        <v>1.5275439202300446E-3</v>
      </c>
      <c r="J14" s="88">
        <v>1</v>
      </c>
      <c r="K14" s="89">
        <f t="shared" ref="K14:K17" si="2">J14/(1+(1-G14)*H14)</f>
        <v>0.9989302290191916</v>
      </c>
    </row>
    <row r="15" spans="2:17">
      <c r="B15" s="65" t="s">
        <v>198</v>
      </c>
      <c r="C15" s="65" t="s">
        <v>201</v>
      </c>
      <c r="D15" s="65"/>
      <c r="E15" s="87">
        <v>3037.7</v>
      </c>
      <c r="F15" s="87">
        <v>110689.96</v>
      </c>
      <c r="G15" s="67">
        <v>0.3</v>
      </c>
      <c r="H15" s="86">
        <f t="shared" si="0"/>
        <v>2.7443320062632597E-2</v>
      </c>
      <c r="I15" s="86">
        <f t="shared" si="1"/>
        <v>2.671030073071054E-2</v>
      </c>
      <c r="J15" s="88">
        <v>1</v>
      </c>
      <c r="K15" s="89">
        <f t="shared" si="2"/>
        <v>0.98115175681539069</v>
      </c>
    </row>
    <row r="16" spans="2:17">
      <c r="B16" s="65" t="s">
        <v>199</v>
      </c>
      <c r="C16" s="65" t="s">
        <v>201</v>
      </c>
      <c r="D16" s="65"/>
      <c r="E16" s="87">
        <v>1164.46</v>
      </c>
      <c r="F16" s="87">
        <v>96256.38</v>
      </c>
      <c r="G16" s="67">
        <v>0.3</v>
      </c>
      <c r="H16" s="86">
        <f t="shared" si="0"/>
        <v>1.2097483823929386E-2</v>
      </c>
      <c r="I16" s="86">
        <f t="shared" si="1"/>
        <v>1.1952884003053145E-2</v>
      </c>
      <c r="J16" s="88">
        <v>1</v>
      </c>
      <c r="K16" s="89">
        <f t="shared" si="2"/>
        <v>0.99160287022240579</v>
      </c>
    </row>
    <row r="17" spans="2:11">
      <c r="B17" s="65" t="s">
        <v>200</v>
      </c>
      <c r="C17" s="65" t="s">
        <v>201</v>
      </c>
      <c r="D17" s="65"/>
      <c r="E17" s="87">
        <v>1068.1099999999999</v>
      </c>
      <c r="F17" s="87">
        <v>94940.38</v>
      </c>
      <c r="G17" s="67">
        <v>0.3</v>
      </c>
      <c r="H17" s="86">
        <f t="shared" si="0"/>
        <v>1.1250323624152335E-2</v>
      </c>
      <c r="I17" s="86">
        <f t="shared" si="1"/>
        <v>1.1125161951823217E-2</v>
      </c>
      <c r="J17" s="88">
        <v>1</v>
      </c>
      <c r="K17" s="89">
        <f t="shared" si="2"/>
        <v>0.99218630805723229</v>
      </c>
    </row>
    <row r="19" spans="2:11">
      <c r="F19" s="68" t="s">
        <v>202</v>
      </c>
      <c r="G19" s="70">
        <f>AVERAGE(G13:G17)</f>
        <v>0.3</v>
      </c>
      <c r="H19" s="74">
        <f t="shared" ref="H19:K19" si="3">AVERAGE(H13:H17)</f>
        <v>1.0836725882456915E-2</v>
      </c>
      <c r="I19" s="74">
        <f t="shared" si="3"/>
        <v>1.0635009743986925E-2</v>
      </c>
      <c r="J19" s="72">
        <f>AVERAGE(J13:J17)</f>
        <v>1</v>
      </c>
      <c r="K19" s="72">
        <f t="shared" si="3"/>
        <v>0.99251380543415968</v>
      </c>
    </row>
    <row r="20" spans="2:11">
      <c r="F20" s="69" t="s">
        <v>151</v>
      </c>
      <c r="G20" s="71">
        <f>MEDIAN(G13:G17)</f>
        <v>0.3</v>
      </c>
      <c r="H20" s="75">
        <f t="shared" ref="H20:K20" si="4">MEDIAN(H13:H17)</f>
        <v>1.1250323624152335E-2</v>
      </c>
      <c r="I20" s="75">
        <f t="shared" si="4"/>
        <v>1.1125161951823217E-2</v>
      </c>
      <c r="J20" s="73">
        <f>MEDIAN(J13:J17)</f>
        <v>1</v>
      </c>
      <c r="K20" s="73">
        <f t="shared" si="4"/>
        <v>0.99218630805723229</v>
      </c>
    </row>
    <row r="24" spans="2:11">
      <c r="B24" s="69" t="s">
        <v>203</v>
      </c>
      <c r="C24" s="63"/>
      <c r="D24" s="63"/>
      <c r="E24" s="63"/>
      <c r="G24" s="69" t="s">
        <v>206</v>
      </c>
      <c r="H24" s="63"/>
      <c r="I24" s="63"/>
      <c r="J24" s="63"/>
      <c r="K24" s="63"/>
    </row>
    <row r="26" spans="2:11">
      <c r="B26" t="s">
        <v>204</v>
      </c>
      <c r="E26" s="23">
        <v>8.4000000000000005E-2</v>
      </c>
      <c r="G26" t="s">
        <v>207</v>
      </c>
      <c r="K26" s="82">
        <v>6.5000000000000002E-2</v>
      </c>
    </row>
    <row r="27" spans="2:11">
      <c r="B27" t="s">
        <v>187</v>
      </c>
      <c r="E27" s="76">
        <v>0.3</v>
      </c>
      <c r="G27" t="s">
        <v>208</v>
      </c>
      <c r="K27" s="82">
        <v>0.08</v>
      </c>
    </row>
    <row r="28" spans="2:11" ht="16">
      <c r="B28" s="77" t="s">
        <v>205</v>
      </c>
      <c r="C28" s="77"/>
      <c r="D28" s="77"/>
      <c r="E28" s="79">
        <f>E26*(1-E27)</f>
        <v>5.8799999999999998E-2</v>
      </c>
      <c r="G28" t="s">
        <v>209</v>
      </c>
      <c r="K28" s="66">
        <f>K37</f>
        <v>1.5055348761390175</v>
      </c>
    </row>
    <row r="29" spans="2:11">
      <c r="G29" s="77" t="s">
        <v>206</v>
      </c>
      <c r="H29" s="77"/>
      <c r="I29" s="77"/>
      <c r="J29" s="77"/>
      <c r="K29" s="79">
        <f>K26+(K27*K28)</f>
        <v>0.18544279009112141</v>
      </c>
    </row>
    <row r="32" spans="2:11">
      <c r="B32" s="69" t="s">
        <v>210</v>
      </c>
      <c r="C32" s="63"/>
      <c r="D32" s="63"/>
      <c r="E32" s="63"/>
      <c r="G32" s="69" t="s">
        <v>214</v>
      </c>
      <c r="H32" s="63"/>
      <c r="I32" s="63"/>
      <c r="J32" s="63"/>
      <c r="K32" s="63"/>
    </row>
    <row r="34" spans="2:11">
      <c r="D34" s="80" t="s">
        <v>211</v>
      </c>
      <c r="E34" s="80" t="s">
        <v>212</v>
      </c>
      <c r="G34" t="s">
        <v>215</v>
      </c>
      <c r="K34" s="66">
        <f>K20</f>
        <v>0.99218630805723229</v>
      </c>
    </row>
    <row r="35" spans="2:11">
      <c r="B35" t="s">
        <v>185</v>
      </c>
      <c r="C35" s="87">
        <v>17440</v>
      </c>
      <c r="D35" s="14">
        <f>C35/$C$37</f>
        <v>0.35087013378935722</v>
      </c>
      <c r="E35" s="82">
        <v>0.42499999999999999</v>
      </c>
      <c r="G35" t="s">
        <v>216</v>
      </c>
      <c r="K35" s="23">
        <f>E39</f>
        <v>0.73913043478260876</v>
      </c>
    </row>
    <row r="36" spans="2:11">
      <c r="B36" t="s">
        <v>9</v>
      </c>
      <c r="C36" s="87">
        <v>32265</v>
      </c>
      <c r="D36" s="14">
        <f>C36/$C$37</f>
        <v>0.64912986621064284</v>
      </c>
      <c r="E36" s="23">
        <f>E37-E35</f>
        <v>0.57499999999999996</v>
      </c>
      <c r="G36" t="s">
        <v>187</v>
      </c>
      <c r="K36" s="23">
        <f>G20</f>
        <v>0.3</v>
      </c>
    </row>
    <row r="37" spans="2:11">
      <c r="B37" s="77" t="s">
        <v>213</v>
      </c>
      <c r="C37" s="90">
        <f>SUM(C35+C36)</f>
        <v>49705</v>
      </c>
      <c r="D37" s="81">
        <f>C37/$C$37</f>
        <v>1</v>
      </c>
      <c r="E37" s="78">
        <f>D37</f>
        <v>1</v>
      </c>
      <c r="G37" s="77" t="s">
        <v>214</v>
      </c>
      <c r="H37" s="77"/>
      <c r="I37" s="77"/>
      <c r="J37" s="77"/>
      <c r="K37" s="84">
        <f>K34*(1+(1-K36)*K35)</f>
        <v>1.5055348761390175</v>
      </c>
    </row>
    <row r="39" spans="2:11">
      <c r="B39" t="s">
        <v>217</v>
      </c>
      <c r="D39" s="56">
        <f>D35/D36</f>
        <v>0.54052378738571205</v>
      </c>
      <c r="E39" s="56">
        <f>E35/E36</f>
        <v>0.73913043478260876</v>
      </c>
      <c r="G39" s="69" t="s">
        <v>180</v>
      </c>
      <c r="H39" s="63"/>
      <c r="I39" s="63"/>
      <c r="J39" s="63"/>
      <c r="K39" s="63"/>
    </row>
    <row r="40" spans="2:11">
      <c r="B40" s="83" t="s">
        <v>218</v>
      </c>
    </row>
    <row r="41" spans="2:11">
      <c r="B41" t="s">
        <v>222</v>
      </c>
      <c r="J41" s="69" t="s">
        <v>221</v>
      </c>
      <c r="K41" s="69" t="s">
        <v>220</v>
      </c>
    </row>
    <row r="42" spans="2:11">
      <c r="B42" t="s">
        <v>223</v>
      </c>
      <c r="G42" t="s">
        <v>219</v>
      </c>
      <c r="J42" s="23">
        <f>E28</f>
        <v>5.8799999999999998E-2</v>
      </c>
      <c r="K42" s="23">
        <f>E35</f>
        <v>0.42499999999999999</v>
      </c>
    </row>
    <row r="43" spans="2:11">
      <c r="B43" t="s">
        <v>224</v>
      </c>
      <c r="G43" t="s">
        <v>189</v>
      </c>
      <c r="J43" s="23">
        <f>K29</f>
        <v>0.18544279009112141</v>
      </c>
      <c r="K43" s="23">
        <f>E36</f>
        <v>0.57499999999999996</v>
      </c>
    </row>
    <row r="44" spans="2:11">
      <c r="B44" t="s">
        <v>225</v>
      </c>
      <c r="G44" s="77" t="s">
        <v>180</v>
      </c>
      <c r="H44" s="77"/>
      <c r="I44" s="77"/>
      <c r="J44" s="77"/>
      <c r="K44" s="85">
        <f>SUMPRODUCT(J42:J43,K42:K43)</f>
        <v>0.1316196043023948</v>
      </c>
    </row>
    <row r="45" spans="2:11">
      <c r="B45" t="s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25EA7-DB66-CC4A-A166-19E0E67055CE}">
  <sheetPr>
    <tabColor rgb="FF7030A0"/>
  </sheetPr>
  <dimension ref="A1"/>
  <sheetViews>
    <sheetView workbookViewId="0">
      <selection activeCell="G31" sqref="G31"/>
    </sheetView>
  </sheetViews>
  <sheetFormatPr baseColWidth="10" defaultRowHeight="1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FE8E-3875-4A40-8445-9CED13B7D51E}">
  <dimension ref="A1:K93"/>
  <sheetViews>
    <sheetView topLeftCell="A7" zoomScale="140" workbookViewId="0">
      <selection activeCell="B28" sqref="B28"/>
    </sheetView>
  </sheetViews>
  <sheetFormatPr baseColWidth="10" defaultColWidth="10.59765625" defaultRowHeight="14"/>
  <cols>
    <col min="1" max="1" width="33.19921875" style="2" bestFit="1" customWidth="1"/>
    <col min="2" max="11" width="16.19921875" style="2" bestFit="1" customWidth="1"/>
    <col min="12" max="16384" width="10.59765625" style="2"/>
  </cols>
  <sheetData>
    <row r="1" spans="1:11" s="1" customFormat="1" ht="15">
      <c r="A1" s="1" t="s">
        <v>0</v>
      </c>
      <c r="B1" s="1" t="s">
        <v>1</v>
      </c>
      <c r="E1" s="101" t="str">
        <f>IF(B2&lt;&gt;B3, "A NEW VERSION OF THE WORKSHEET IS AVAILABLE", "")</f>
        <v/>
      </c>
      <c r="F1" s="101"/>
      <c r="G1" s="101"/>
      <c r="H1" s="101"/>
      <c r="I1" s="101"/>
      <c r="J1" s="101"/>
      <c r="K1" s="101"/>
    </row>
    <row r="2" spans="1:11" ht="15">
      <c r="A2" s="1" t="s">
        <v>2</v>
      </c>
      <c r="B2" s="2">
        <v>2.1</v>
      </c>
      <c r="E2" s="102" t="s">
        <v>3</v>
      </c>
      <c r="F2" s="102"/>
      <c r="G2" s="102"/>
      <c r="H2" s="102"/>
      <c r="I2" s="102"/>
      <c r="J2" s="102"/>
      <c r="K2" s="102"/>
    </row>
    <row r="3" spans="1:11" ht="15">
      <c r="A3" s="1" t="s">
        <v>4</v>
      </c>
      <c r="B3" s="2">
        <v>2.1</v>
      </c>
    </row>
    <row r="4" spans="1:11" ht="15">
      <c r="A4" s="1"/>
    </row>
    <row r="5" spans="1:11" ht="15">
      <c r="A5" s="1" t="s">
        <v>5</v>
      </c>
    </row>
    <row r="6" spans="1:11">
      <c r="A6" s="2" t="s">
        <v>6</v>
      </c>
      <c r="B6" s="2">
        <f>IF(B9&gt;0, B9/B8, 0)</f>
        <v>368.1124922311995</v>
      </c>
    </row>
    <row r="7" spans="1:11">
      <c r="A7" s="2" t="s">
        <v>7</v>
      </c>
      <c r="B7">
        <v>2</v>
      </c>
    </row>
    <row r="8" spans="1:11">
      <c r="A8" s="2" t="s">
        <v>8</v>
      </c>
      <c r="B8">
        <v>724.05</v>
      </c>
    </row>
    <row r="9" spans="1:11">
      <c r="A9" s="2" t="s">
        <v>9</v>
      </c>
      <c r="B9">
        <v>266531.84999999998</v>
      </c>
    </row>
    <row r="15" spans="1:11" ht="15">
      <c r="A15" s="1" t="s">
        <v>10</v>
      </c>
    </row>
    <row r="16" spans="1:11" s="5" customFormat="1" ht="15">
      <c r="A16" s="3" t="s">
        <v>11</v>
      </c>
      <c r="B16" s="4">
        <v>42094</v>
      </c>
      <c r="C16" s="4">
        <v>42460</v>
      </c>
      <c r="D16" s="4">
        <v>42825</v>
      </c>
      <c r="E16" s="4">
        <v>43190</v>
      </c>
      <c r="F16" s="4">
        <v>43555</v>
      </c>
      <c r="G16" s="4">
        <v>43921</v>
      </c>
      <c r="H16" s="4">
        <v>44286</v>
      </c>
      <c r="I16" s="4">
        <v>44651</v>
      </c>
      <c r="J16" s="4">
        <v>45016</v>
      </c>
      <c r="K16" s="4">
        <v>45382</v>
      </c>
    </row>
    <row r="17" spans="1:11" s="6" customFormat="1" ht="15">
      <c r="A17" s="6" t="s">
        <v>12</v>
      </c>
      <c r="B17">
        <v>263158.98</v>
      </c>
      <c r="C17">
        <v>273045.59999999998</v>
      </c>
      <c r="D17">
        <v>269692.51</v>
      </c>
      <c r="E17">
        <v>291550.48</v>
      </c>
      <c r="F17">
        <v>301938.40000000002</v>
      </c>
      <c r="G17">
        <v>261067.97</v>
      </c>
      <c r="H17">
        <v>249794.75</v>
      </c>
      <c r="I17">
        <v>278453.62</v>
      </c>
      <c r="J17">
        <v>345966.97</v>
      </c>
      <c r="K17">
        <v>437927.77</v>
      </c>
    </row>
    <row r="18" spans="1:11" s="6" customFormat="1" ht="15">
      <c r="A18" s="2" t="s">
        <v>13</v>
      </c>
      <c r="B18">
        <v>163250.35999999999</v>
      </c>
      <c r="C18">
        <v>166134.01</v>
      </c>
      <c r="D18">
        <v>173294.07999999999</v>
      </c>
      <c r="E18">
        <v>187896.58</v>
      </c>
      <c r="F18">
        <v>194267.91</v>
      </c>
      <c r="G18">
        <v>164899.82</v>
      </c>
      <c r="H18">
        <v>153607.35999999999</v>
      </c>
      <c r="I18">
        <v>179295.33</v>
      </c>
      <c r="J18">
        <v>231251.26</v>
      </c>
      <c r="K18">
        <v>274321.23</v>
      </c>
    </row>
    <row r="19" spans="1:11" s="6" customFormat="1" ht="15">
      <c r="A19" s="2" t="s">
        <v>14</v>
      </c>
      <c r="B19">
        <v>3330.35</v>
      </c>
      <c r="C19">
        <v>2750.99</v>
      </c>
      <c r="D19">
        <v>7399.92</v>
      </c>
      <c r="E19">
        <v>2046.58</v>
      </c>
      <c r="F19">
        <v>-2053.2800000000002</v>
      </c>
      <c r="G19">
        <v>-2231.19</v>
      </c>
      <c r="H19">
        <v>-4684.16</v>
      </c>
      <c r="I19">
        <v>-1590.49</v>
      </c>
      <c r="J19">
        <v>4781.62</v>
      </c>
      <c r="K19">
        <v>1565.53</v>
      </c>
    </row>
    <row r="20" spans="1:11" s="6" customFormat="1" ht="15">
      <c r="A20" s="2" t="s">
        <v>15</v>
      </c>
      <c r="B20">
        <v>1121.75</v>
      </c>
      <c r="C20">
        <v>1143.6300000000001</v>
      </c>
      <c r="D20">
        <v>1159.82</v>
      </c>
      <c r="E20">
        <v>1308.08</v>
      </c>
      <c r="F20">
        <v>1585.93</v>
      </c>
      <c r="G20">
        <v>1264.95</v>
      </c>
      <c r="H20">
        <v>1112.8699999999999</v>
      </c>
      <c r="I20">
        <v>2178.29</v>
      </c>
      <c r="J20">
        <v>2513.33</v>
      </c>
      <c r="K20">
        <v>2195.12</v>
      </c>
    </row>
    <row r="21" spans="1:11" s="6" customFormat="1" ht="15">
      <c r="A21" s="2" t="s">
        <v>16</v>
      </c>
      <c r="B21">
        <v>16173.17</v>
      </c>
      <c r="C21">
        <v>12101.53</v>
      </c>
      <c r="D21">
        <v>10067.370000000001</v>
      </c>
      <c r="E21">
        <v>10971.66</v>
      </c>
      <c r="F21">
        <v>11694.54</v>
      </c>
      <c r="G21">
        <v>11541.51</v>
      </c>
      <c r="H21">
        <v>8273.17</v>
      </c>
      <c r="I21">
        <v>9427.3799999999992</v>
      </c>
      <c r="J21">
        <v>11765.97</v>
      </c>
      <c r="K21">
        <v>17114.330000000002</v>
      </c>
    </row>
    <row r="22" spans="1:11" s="6" customFormat="1" ht="15">
      <c r="A22" s="2" t="s">
        <v>17</v>
      </c>
      <c r="B22">
        <v>25641.95</v>
      </c>
      <c r="C22">
        <v>28880.89</v>
      </c>
      <c r="D22">
        <v>28332.89</v>
      </c>
      <c r="E22">
        <v>30300.09</v>
      </c>
      <c r="F22">
        <v>33243.870000000003</v>
      </c>
      <c r="G22">
        <v>30438.6</v>
      </c>
      <c r="H22">
        <v>27648.48</v>
      </c>
      <c r="I22">
        <v>30808.52</v>
      </c>
      <c r="J22">
        <v>33654.699999999997</v>
      </c>
      <c r="K22">
        <v>42486.64</v>
      </c>
    </row>
    <row r="23" spans="1:11" s="6" customFormat="1" ht="15">
      <c r="A23" s="2" t="s">
        <v>18</v>
      </c>
      <c r="B23">
        <v>23603.01</v>
      </c>
      <c r="C23">
        <v>21991.9</v>
      </c>
      <c r="D23">
        <v>30039.38</v>
      </c>
      <c r="E23">
        <v>31004.58</v>
      </c>
      <c r="F23">
        <v>32719.8</v>
      </c>
      <c r="G23">
        <v>29248.32</v>
      </c>
      <c r="H23">
        <v>23015.79</v>
      </c>
      <c r="I23">
        <v>29205.4</v>
      </c>
      <c r="J23">
        <v>34839.19</v>
      </c>
      <c r="K23">
        <v>42765.33</v>
      </c>
    </row>
    <row r="24" spans="1:11" s="6" customFormat="1" ht="15">
      <c r="A24" s="2" t="s">
        <v>19</v>
      </c>
      <c r="B24">
        <v>-2539.56</v>
      </c>
      <c r="C24">
        <v>7149.38</v>
      </c>
      <c r="D24">
        <v>4610.2</v>
      </c>
      <c r="E24">
        <v>658.39</v>
      </c>
      <c r="F24">
        <v>1708.74</v>
      </c>
      <c r="G24">
        <v>3456.51</v>
      </c>
      <c r="H24">
        <v>-834.51</v>
      </c>
      <c r="I24">
        <v>1228.1199999999999</v>
      </c>
      <c r="J24">
        <v>4908.34</v>
      </c>
      <c r="K24">
        <v>1072.31</v>
      </c>
    </row>
    <row r="25" spans="1:11" s="6" customFormat="1" ht="15">
      <c r="A25" s="6" t="s">
        <v>20</v>
      </c>
      <c r="B25">
        <v>714.03</v>
      </c>
      <c r="C25">
        <v>-2669.62</v>
      </c>
      <c r="D25">
        <v>1869.1</v>
      </c>
      <c r="E25">
        <v>5932.73</v>
      </c>
      <c r="F25">
        <v>-26686.25</v>
      </c>
      <c r="G25">
        <v>101.71</v>
      </c>
      <c r="H25">
        <v>-11117.83</v>
      </c>
      <c r="I25">
        <v>2424.0500000000002</v>
      </c>
      <c r="J25">
        <v>6663.97</v>
      </c>
      <c r="K25">
        <v>5672.66</v>
      </c>
    </row>
    <row r="26" spans="1:11" s="6" customFormat="1" ht="15">
      <c r="A26" s="6" t="s">
        <v>21</v>
      </c>
      <c r="B26">
        <v>13388.63</v>
      </c>
      <c r="C26">
        <v>16710.78</v>
      </c>
      <c r="D26">
        <v>17904.990000000002</v>
      </c>
      <c r="E26">
        <v>21553.59</v>
      </c>
      <c r="F26">
        <v>23590.63</v>
      </c>
      <c r="G26">
        <v>21425.43</v>
      </c>
      <c r="H26">
        <v>23546.71</v>
      </c>
      <c r="I26">
        <v>24835.69</v>
      </c>
      <c r="J26">
        <v>24860.36</v>
      </c>
      <c r="K26">
        <v>27270.13</v>
      </c>
    </row>
    <row r="27" spans="1:11" s="6" customFormat="1" ht="15">
      <c r="A27" s="6" t="s">
        <v>22</v>
      </c>
      <c r="B27">
        <v>4861.49</v>
      </c>
      <c r="C27">
        <v>4889.08</v>
      </c>
      <c r="D27">
        <v>4238.01</v>
      </c>
      <c r="E27">
        <v>4681.79</v>
      </c>
      <c r="F27">
        <v>5758.6</v>
      </c>
      <c r="G27">
        <v>7243.33</v>
      </c>
      <c r="H27">
        <v>8097.17</v>
      </c>
      <c r="I27">
        <v>9311.86</v>
      </c>
      <c r="J27">
        <v>10225.48</v>
      </c>
      <c r="K27">
        <v>9985.76</v>
      </c>
    </row>
    <row r="28" spans="1:11" s="6" customFormat="1" ht="15">
      <c r="A28" s="6" t="s">
        <v>23</v>
      </c>
      <c r="B28">
        <v>21702.560000000001</v>
      </c>
      <c r="C28">
        <v>14125.77</v>
      </c>
      <c r="D28">
        <v>9314.7900000000009</v>
      </c>
      <c r="E28">
        <v>11155.03</v>
      </c>
      <c r="F28">
        <v>-31371.15</v>
      </c>
      <c r="G28">
        <v>-10579.98</v>
      </c>
      <c r="H28">
        <v>-10474.280000000001</v>
      </c>
      <c r="I28">
        <v>-7003.41</v>
      </c>
      <c r="J28">
        <v>3393.93</v>
      </c>
      <c r="K28">
        <v>27955.11</v>
      </c>
    </row>
    <row r="29" spans="1:11" s="6" customFormat="1" ht="15">
      <c r="A29" s="6" t="s">
        <v>24</v>
      </c>
      <c r="B29">
        <v>7642.91</v>
      </c>
      <c r="C29">
        <v>3025.05</v>
      </c>
      <c r="D29">
        <v>3251.23</v>
      </c>
      <c r="E29">
        <v>4341.93</v>
      </c>
      <c r="F29">
        <v>-2437.4499999999998</v>
      </c>
      <c r="G29">
        <v>395.25</v>
      </c>
      <c r="H29">
        <v>2541.86</v>
      </c>
      <c r="I29">
        <v>4231.29</v>
      </c>
      <c r="J29">
        <v>704.06</v>
      </c>
      <c r="K29">
        <v>-3851.64</v>
      </c>
    </row>
    <row r="30" spans="1:11" s="6" customFormat="1" ht="15">
      <c r="A30" s="6" t="s">
        <v>25</v>
      </c>
      <c r="B30">
        <v>13986.29</v>
      </c>
      <c r="C30">
        <v>11579.31</v>
      </c>
      <c r="D30">
        <v>7454.36</v>
      </c>
      <c r="E30">
        <v>8988.91</v>
      </c>
      <c r="F30">
        <v>-28826.23</v>
      </c>
      <c r="G30">
        <v>-12070.85</v>
      </c>
      <c r="H30">
        <v>-13451.39</v>
      </c>
      <c r="I30">
        <v>-11441.47</v>
      </c>
      <c r="J30">
        <v>2414.29</v>
      </c>
      <c r="K30">
        <v>31399.09</v>
      </c>
    </row>
    <row r="31" spans="1:11" s="6" customFormat="1" ht="15">
      <c r="A31" s="6" t="s">
        <v>26</v>
      </c>
      <c r="C31">
        <v>67.92</v>
      </c>
      <c r="J31">
        <v>766.02</v>
      </c>
      <c r="K31">
        <v>2299.5</v>
      </c>
    </row>
    <row r="32" spans="1:11" s="6" customFormat="1" ht="15"/>
    <row r="33" spans="1:11" ht="15">
      <c r="A33" s="6"/>
    </row>
    <row r="34" spans="1:11" ht="15">
      <c r="A34" s="6"/>
    </row>
    <row r="35" spans="1:11" ht="15">
      <c r="A35" s="6"/>
    </row>
    <row r="36" spans="1:11" ht="15">
      <c r="A36" s="6"/>
    </row>
    <row r="37" spans="1:11" ht="15">
      <c r="A37" s="6"/>
    </row>
    <row r="38" spans="1:11" ht="15">
      <c r="A38" s="6"/>
    </row>
    <row r="39" spans="1:11" ht="15">
      <c r="A39" s="6"/>
    </row>
    <row r="40" spans="1:11" ht="15">
      <c r="A40" s="1" t="s">
        <v>27</v>
      </c>
    </row>
    <row r="41" spans="1:11" s="5" customFormat="1" ht="15">
      <c r="A41" s="3" t="s">
        <v>11</v>
      </c>
      <c r="B41" s="4">
        <v>44742</v>
      </c>
      <c r="C41" s="4">
        <v>44834</v>
      </c>
      <c r="D41" s="4">
        <v>44926</v>
      </c>
      <c r="E41" s="4">
        <v>45016</v>
      </c>
      <c r="F41" s="4">
        <v>45107</v>
      </c>
      <c r="G41" s="4">
        <v>45199</v>
      </c>
      <c r="H41" s="4">
        <v>45291</v>
      </c>
      <c r="I41" s="4">
        <v>45382</v>
      </c>
      <c r="J41" s="4">
        <v>45473</v>
      </c>
      <c r="K41" s="4">
        <v>45565</v>
      </c>
    </row>
    <row r="42" spans="1:11" s="6" customFormat="1" ht="15">
      <c r="A42" s="6" t="s">
        <v>12</v>
      </c>
      <c r="B42">
        <v>71934.66</v>
      </c>
      <c r="C42">
        <v>79611.37</v>
      </c>
      <c r="D42">
        <v>88488.59</v>
      </c>
      <c r="E42">
        <v>105932.35</v>
      </c>
      <c r="F42">
        <v>102236</v>
      </c>
      <c r="G42">
        <v>105129</v>
      </c>
      <c r="H42">
        <v>110577.14</v>
      </c>
      <c r="I42">
        <v>119986</v>
      </c>
      <c r="J42">
        <v>108048</v>
      </c>
      <c r="K42">
        <v>101450</v>
      </c>
    </row>
    <row r="43" spans="1:11" s="6" customFormat="1" ht="15">
      <c r="A43" s="6" t="s">
        <v>28</v>
      </c>
      <c r="B43">
        <v>69521.929999999993</v>
      </c>
      <c r="C43">
        <v>74039.06</v>
      </c>
      <c r="D43">
        <v>77668.350000000006</v>
      </c>
      <c r="E43">
        <v>92817.95</v>
      </c>
      <c r="F43">
        <v>89019</v>
      </c>
      <c r="G43">
        <v>91362</v>
      </c>
      <c r="H43">
        <v>95158.77</v>
      </c>
      <c r="I43">
        <v>102851</v>
      </c>
      <c r="J43">
        <v>92263</v>
      </c>
      <c r="K43">
        <v>89291</v>
      </c>
    </row>
    <row r="44" spans="1:11" s="6" customFormat="1" ht="15">
      <c r="A44" s="6" t="s">
        <v>20</v>
      </c>
      <c r="B44">
        <v>2380.98</v>
      </c>
      <c r="C44">
        <v>1351.14</v>
      </c>
      <c r="D44">
        <v>1129.98</v>
      </c>
      <c r="E44">
        <v>1452.86</v>
      </c>
      <c r="F44">
        <v>895</v>
      </c>
      <c r="G44">
        <v>1557</v>
      </c>
      <c r="H44">
        <v>1603.76</v>
      </c>
      <c r="I44">
        <v>1619</v>
      </c>
      <c r="J44">
        <v>1747</v>
      </c>
      <c r="K44">
        <v>1647</v>
      </c>
    </row>
    <row r="45" spans="1:11" s="6" customFormat="1" ht="15">
      <c r="A45" s="6" t="s">
        <v>21</v>
      </c>
      <c r="B45">
        <v>5841.04</v>
      </c>
      <c r="C45">
        <v>5897.34</v>
      </c>
      <c r="D45">
        <v>6071.78</v>
      </c>
      <c r="E45">
        <v>7050.2</v>
      </c>
      <c r="F45">
        <v>6633</v>
      </c>
      <c r="G45">
        <v>6637</v>
      </c>
      <c r="H45">
        <v>6850</v>
      </c>
      <c r="I45">
        <v>7151</v>
      </c>
      <c r="J45">
        <v>6574</v>
      </c>
      <c r="K45">
        <v>6005</v>
      </c>
    </row>
    <row r="46" spans="1:11" s="6" customFormat="1" ht="15">
      <c r="A46" s="6" t="s">
        <v>22</v>
      </c>
      <c r="B46">
        <v>2420.7199999999998</v>
      </c>
      <c r="C46">
        <v>2487.2600000000002</v>
      </c>
      <c r="D46">
        <v>2675.83</v>
      </c>
      <c r="E46">
        <v>2641.67</v>
      </c>
      <c r="F46">
        <v>2615</v>
      </c>
      <c r="G46">
        <v>2652</v>
      </c>
      <c r="H46">
        <v>2484.91</v>
      </c>
      <c r="I46">
        <v>2234</v>
      </c>
      <c r="J46">
        <v>2088</v>
      </c>
      <c r="K46">
        <v>2034</v>
      </c>
    </row>
    <row r="47" spans="1:11" s="6" customFormat="1" ht="15">
      <c r="A47" s="6" t="s">
        <v>23</v>
      </c>
      <c r="B47">
        <v>-3468.05</v>
      </c>
      <c r="C47">
        <v>-1461.15</v>
      </c>
      <c r="D47">
        <v>3202.61</v>
      </c>
      <c r="E47">
        <v>4875.3900000000003</v>
      </c>
      <c r="F47">
        <v>4864</v>
      </c>
      <c r="G47">
        <v>6035</v>
      </c>
      <c r="H47">
        <v>7687.22</v>
      </c>
      <c r="I47">
        <v>9369</v>
      </c>
      <c r="J47">
        <v>8870</v>
      </c>
      <c r="K47">
        <v>5767</v>
      </c>
    </row>
    <row r="48" spans="1:11" s="6" customFormat="1" ht="15">
      <c r="A48" s="6" t="s">
        <v>24</v>
      </c>
      <c r="B48">
        <v>1518.96</v>
      </c>
      <c r="C48">
        <v>-457.08</v>
      </c>
      <c r="D48">
        <v>262.83</v>
      </c>
      <c r="E48">
        <v>-620.65</v>
      </c>
      <c r="F48">
        <v>1563</v>
      </c>
      <c r="G48">
        <v>2203</v>
      </c>
      <c r="H48">
        <v>541.79</v>
      </c>
      <c r="I48">
        <v>-8160</v>
      </c>
      <c r="J48">
        <v>3178</v>
      </c>
      <c r="K48">
        <v>2317</v>
      </c>
    </row>
    <row r="49" spans="1:11" s="6" customFormat="1" ht="15">
      <c r="A49" s="6" t="s">
        <v>25</v>
      </c>
      <c r="B49">
        <v>-5006.6000000000004</v>
      </c>
      <c r="C49">
        <v>-944.61</v>
      </c>
      <c r="D49">
        <v>2957.71</v>
      </c>
      <c r="E49">
        <v>5407.79</v>
      </c>
      <c r="F49">
        <v>3203</v>
      </c>
      <c r="G49">
        <v>3764</v>
      </c>
      <c r="H49">
        <v>7025.11</v>
      </c>
      <c r="I49">
        <v>17407</v>
      </c>
      <c r="J49">
        <v>5566</v>
      </c>
      <c r="K49">
        <v>3343</v>
      </c>
    </row>
    <row r="50" spans="1:11" ht="15">
      <c r="A50" s="6" t="s">
        <v>29</v>
      </c>
      <c r="B50">
        <v>2412.73</v>
      </c>
      <c r="C50">
        <v>5572.31</v>
      </c>
      <c r="D50">
        <v>10820.24</v>
      </c>
      <c r="E50">
        <v>13114.4</v>
      </c>
      <c r="F50">
        <v>13217</v>
      </c>
      <c r="G50">
        <v>13767</v>
      </c>
      <c r="H50">
        <v>15418.37</v>
      </c>
      <c r="I50">
        <v>17135</v>
      </c>
      <c r="J50">
        <v>15785</v>
      </c>
      <c r="K50">
        <v>12159</v>
      </c>
    </row>
    <row r="51" spans="1:11" ht="15">
      <c r="A51" s="6" t="s">
        <v>64</v>
      </c>
      <c r="B51" s="2">
        <f>B49+B48+B46+B45</f>
        <v>4774.119999999999</v>
      </c>
      <c r="C51" s="2">
        <f>C49+C48+C46+C45</f>
        <v>6982.91</v>
      </c>
      <c r="D51" s="2">
        <f t="shared" ref="D51:K51" si="0">D49+D48+D46+D45</f>
        <v>11968.15</v>
      </c>
      <c r="E51" s="2">
        <f t="shared" si="0"/>
        <v>14479.01</v>
      </c>
      <c r="F51" s="2">
        <f t="shared" si="0"/>
        <v>14014</v>
      </c>
      <c r="G51" s="2">
        <f t="shared" si="0"/>
        <v>15256</v>
      </c>
      <c r="H51" s="2">
        <f t="shared" si="0"/>
        <v>16901.809999999998</v>
      </c>
      <c r="I51" s="2">
        <f t="shared" si="0"/>
        <v>18632</v>
      </c>
      <c r="J51" s="2">
        <f t="shared" si="0"/>
        <v>17406</v>
      </c>
      <c r="K51" s="2">
        <f t="shared" si="0"/>
        <v>13699</v>
      </c>
    </row>
    <row r="52" spans="1:11" ht="15">
      <c r="A52" s="6"/>
    </row>
    <row r="53" spans="1:11" ht="15">
      <c r="A53" s="6"/>
    </row>
    <row r="54" spans="1:11" ht="15">
      <c r="A54" s="6"/>
    </row>
    <row r="55" spans="1:11" ht="15">
      <c r="A55" s="1" t="s">
        <v>30</v>
      </c>
    </row>
    <row r="56" spans="1:11" s="5" customFormat="1" ht="15">
      <c r="A56" s="3" t="s">
        <v>11</v>
      </c>
      <c r="B56" s="4">
        <v>42094</v>
      </c>
      <c r="C56" s="4">
        <v>42460</v>
      </c>
      <c r="D56" s="4">
        <v>42825</v>
      </c>
      <c r="E56" s="4">
        <v>43190</v>
      </c>
      <c r="F56" s="4">
        <v>43555</v>
      </c>
      <c r="G56" s="4">
        <v>43921</v>
      </c>
      <c r="H56" s="4">
        <v>44286</v>
      </c>
      <c r="I56" s="4">
        <v>44651</v>
      </c>
      <c r="J56" s="4">
        <v>45016</v>
      </c>
      <c r="K56" s="4">
        <v>45382</v>
      </c>
    </row>
    <row r="57" spans="1:11" ht="15">
      <c r="A57" s="6" t="s">
        <v>31</v>
      </c>
      <c r="B57">
        <v>643.78</v>
      </c>
      <c r="C57">
        <v>679.18</v>
      </c>
      <c r="D57">
        <v>679.22</v>
      </c>
      <c r="E57">
        <v>679.22</v>
      </c>
      <c r="F57">
        <v>679.22</v>
      </c>
      <c r="G57">
        <v>719.54</v>
      </c>
      <c r="H57">
        <v>765.81</v>
      </c>
      <c r="I57">
        <v>765.88</v>
      </c>
      <c r="J57">
        <v>766.02</v>
      </c>
      <c r="K57">
        <v>766.5</v>
      </c>
    </row>
    <row r="58" spans="1:11" ht="15">
      <c r="A58" s="6" t="s">
        <v>32</v>
      </c>
      <c r="B58">
        <v>55618.14</v>
      </c>
      <c r="C58">
        <v>78273.23</v>
      </c>
      <c r="D58">
        <v>57382.67</v>
      </c>
      <c r="E58">
        <v>94748.69</v>
      </c>
      <c r="F58">
        <v>59500.34</v>
      </c>
      <c r="G58">
        <v>62358.99</v>
      </c>
      <c r="H58">
        <v>54480.91</v>
      </c>
      <c r="I58">
        <v>43795.360000000001</v>
      </c>
      <c r="J58">
        <v>44555.77</v>
      </c>
      <c r="K58">
        <v>84151.52</v>
      </c>
    </row>
    <row r="59" spans="1:11" ht="15">
      <c r="A59" s="6" t="s">
        <v>33</v>
      </c>
      <c r="B59">
        <v>73610.39</v>
      </c>
      <c r="C59">
        <v>69359.960000000006</v>
      </c>
      <c r="D59">
        <v>78603.98</v>
      </c>
      <c r="E59">
        <v>88950.47</v>
      </c>
      <c r="F59">
        <v>106175.34</v>
      </c>
      <c r="G59">
        <v>124787.64</v>
      </c>
      <c r="H59">
        <v>142130.57</v>
      </c>
      <c r="I59">
        <v>146449.03</v>
      </c>
      <c r="J59">
        <v>134113.44</v>
      </c>
      <c r="K59">
        <v>107262.5</v>
      </c>
    </row>
    <row r="60" spans="1:11" ht="15">
      <c r="A60" s="6" t="s">
        <v>34</v>
      </c>
      <c r="B60">
        <v>107442.48</v>
      </c>
      <c r="C60">
        <v>114871.75</v>
      </c>
      <c r="D60">
        <v>135914.49</v>
      </c>
      <c r="E60">
        <v>142813.43</v>
      </c>
      <c r="F60">
        <v>139348.59</v>
      </c>
      <c r="G60">
        <v>132313.22</v>
      </c>
      <c r="H60">
        <v>144192.62</v>
      </c>
      <c r="I60">
        <v>138051.22</v>
      </c>
      <c r="J60">
        <v>155239.20000000001</v>
      </c>
      <c r="K60">
        <v>177340.09</v>
      </c>
    </row>
    <row r="61" spans="1:11" s="1" customFormat="1" ht="15">
      <c r="A61" s="1" t="s">
        <v>35</v>
      </c>
      <c r="B61">
        <v>237314.79</v>
      </c>
      <c r="C61">
        <v>263184.12</v>
      </c>
      <c r="D61">
        <v>272580.36</v>
      </c>
      <c r="E61">
        <v>327191.81</v>
      </c>
      <c r="F61">
        <v>305703.49</v>
      </c>
      <c r="G61">
        <v>320179.39</v>
      </c>
      <c r="H61">
        <v>341569.91</v>
      </c>
      <c r="I61">
        <v>329061.49</v>
      </c>
      <c r="J61">
        <v>334674.43</v>
      </c>
      <c r="K61">
        <v>369520.61</v>
      </c>
    </row>
    <row r="62" spans="1:11" ht="15">
      <c r="A62" s="6" t="s">
        <v>36</v>
      </c>
      <c r="B62">
        <v>88479.49</v>
      </c>
      <c r="C62">
        <v>107231.76</v>
      </c>
      <c r="D62">
        <v>95944.08</v>
      </c>
      <c r="E62">
        <v>121413.86</v>
      </c>
      <c r="F62">
        <v>111234.47</v>
      </c>
      <c r="G62">
        <v>127107.14</v>
      </c>
      <c r="H62">
        <v>138707.60999999999</v>
      </c>
      <c r="I62">
        <v>138855.45000000001</v>
      </c>
      <c r="J62">
        <v>132079.76</v>
      </c>
      <c r="K62">
        <v>121285.46</v>
      </c>
    </row>
    <row r="63" spans="1:11" ht="15">
      <c r="A63" s="6" t="s">
        <v>37</v>
      </c>
      <c r="B63">
        <v>28640.09</v>
      </c>
      <c r="C63">
        <v>25918.94</v>
      </c>
      <c r="D63">
        <v>33698.839999999997</v>
      </c>
      <c r="E63">
        <v>40033.5</v>
      </c>
      <c r="F63">
        <v>31883.84</v>
      </c>
      <c r="G63">
        <v>35622.29</v>
      </c>
      <c r="H63">
        <v>20963.93</v>
      </c>
      <c r="I63">
        <v>10251.09</v>
      </c>
      <c r="J63">
        <v>14274.5</v>
      </c>
      <c r="K63">
        <v>35698.43</v>
      </c>
    </row>
    <row r="64" spans="1:11" ht="15">
      <c r="A64" s="6" t="s">
        <v>38</v>
      </c>
      <c r="B64">
        <v>15336.74</v>
      </c>
      <c r="C64">
        <v>23767.02</v>
      </c>
      <c r="D64">
        <v>20337.919999999998</v>
      </c>
      <c r="E64">
        <v>20812.75</v>
      </c>
      <c r="F64">
        <v>15770.72</v>
      </c>
      <c r="G64">
        <v>16308.48</v>
      </c>
      <c r="H64">
        <v>24620.28</v>
      </c>
      <c r="I64">
        <v>29379.53</v>
      </c>
      <c r="J64">
        <v>26379.16</v>
      </c>
      <c r="K64">
        <v>22971.07</v>
      </c>
    </row>
    <row r="65" spans="1:11" ht="15">
      <c r="A65" s="6" t="s">
        <v>39</v>
      </c>
      <c r="B65">
        <v>104858.47</v>
      </c>
      <c r="C65">
        <v>106266.4</v>
      </c>
      <c r="D65">
        <v>122599.52</v>
      </c>
      <c r="E65">
        <v>144931.70000000001</v>
      </c>
      <c r="F65">
        <v>146814.46</v>
      </c>
      <c r="G65">
        <v>141141.48000000001</v>
      </c>
      <c r="H65">
        <v>157278.09</v>
      </c>
      <c r="I65">
        <v>150575.42000000001</v>
      </c>
      <c r="J65">
        <v>161941.01</v>
      </c>
      <c r="K65">
        <v>189565.65</v>
      </c>
    </row>
    <row r="66" spans="1:11" s="1" customFormat="1" ht="15">
      <c r="A66" s="1" t="s">
        <v>35</v>
      </c>
      <c r="B66">
        <v>237314.79</v>
      </c>
      <c r="C66">
        <v>263184.12</v>
      </c>
      <c r="D66">
        <v>272580.36</v>
      </c>
      <c r="E66">
        <v>327191.81</v>
      </c>
      <c r="F66">
        <v>305703.49</v>
      </c>
      <c r="G66">
        <v>320179.39</v>
      </c>
      <c r="H66">
        <v>341569.91</v>
      </c>
      <c r="I66">
        <v>329061.49</v>
      </c>
      <c r="J66">
        <v>334674.43</v>
      </c>
      <c r="K66">
        <v>369520.61</v>
      </c>
    </row>
    <row r="67" spans="1:11" s="6" customFormat="1" ht="15">
      <c r="A67" s="6" t="s">
        <v>40</v>
      </c>
      <c r="B67">
        <v>12579.2</v>
      </c>
      <c r="C67">
        <v>13570.91</v>
      </c>
      <c r="D67">
        <v>14075.55</v>
      </c>
      <c r="E67">
        <v>19893.3</v>
      </c>
      <c r="F67">
        <v>18996.169999999998</v>
      </c>
      <c r="G67">
        <v>11172.69</v>
      </c>
      <c r="H67">
        <v>12679.08</v>
      </c>
      <c r="I67">
        <v>12442.12</v>
      </c>
      <c r="J67">
        <v>15737.97</v>
      </c>
      <c r="K67">
        <v>16951.810000000001</v>
      </c>
    </row>
    <row r="68" spans="1:11" ht="15">
      <c r="A68" s="6" t="s">
        <v>41</v>
      </c>
      <c r="B68">
        <v>29272.34</v>
      </c>
      <c r="C68">
        <v>32655.73</v>
      </c>
      <c r="D68">
        <v>35085.31</v>
      </c>
      <c r="E68">
        <v>42137.63</v>
      </c>
      <c r="F68">
        <v>39013.730000000003</v>
      </c>
      <c r="G68">
        <v>37456.879999999997</v>
      </c>
      <c r="H68">
        <v>36088.589999999997</v>
      </c>
      <c r="I68">
        <v>35240.339999999997</v>
      </c>
      <c r="J68">
        <v>40755.39</v>
      </c>
      <c r="K68">
        <v>47788.29</v>
      </c>
    </row>
    <row r="69" spans="1:11">
      <c r="A69" s="2" t="s">
        <v>42</v>
      </c>
      <c r="B69">
        <v>32115.759999999998</v>
      </c>
      <c r="C69">
        <v>30460.400000000001</v>
      </c>
      <c r="D69">
        <v>36077.879999999997</v>
      </c>
      <c r="E69">
        <v>34613.910000000003</v>
      </c>
      <c r="F69">
        <v>32648.82</v>
      </c>
      <c r="G69">
        <v>33726.97</v>
      </c>
      <c r="H69">
        <v>46792.46</v>
      </c>
      <c r="I69">
        <v>40669.19</v>
      </c>
      <c r="J69">
        <v>37015.56</v>
      </c>
      <c r="K69">
        <v>45806.69</v>
      </c>
    </row>
    <row r="70" spans="1:11">
      <c r="A70" s="2" t="s">
        <v>43</v>
      </c>
      <c r="B70">
        <v>3218930067</v>
      </c>
      <c r="C70">
        <v>3395930306</v>
      </c>
      <c r="D70">
        <v>3396100719</v>
      </c>
      <c r="E70">
        <v>3396100719</v>
      </c>
      <c r="F70">
        <v>3396100719</v>
      </c>
      <c r="G70">
        <v>3597726185</v>
      </c>
      <c r="H70">
        <v>3829060661</v>
      </c>
      <c r="I70">
        <v>3829414903</v>
      </c>
      <c r="J70">
        <v>3830097221</v>
      </c>
      <c r="K70">
        <v>3832491897</v>
      </c>
    </row>
    <row r="71" spans="1:11">
      <c r="A71" s="2" t="s">
        <v>44</v>
      </c>
    </row>
    <row r="72" spans="1:11">
      <c r="A72" s="2" t="s">
        <v>45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</row>
    <row r="74" spans="1:11" ht="15">
      <c r="A74" s="6"/>
    </row>
    <row r="75" spans="1:11" ht="15">
      <c r="A75" s="6"/>
    </row>
    <row r="76" spans="1:11" ht="15">
      <c r="A76" s="6"/>
    </row>
    <row r="77" spans="1:11" ht="15">
      <c r="A77" s="6"/>
    </row>
    <row r="78" spans="1:11" ht="15">
      <c r="A78" s="6"/>
    </row>
    <row r="79" spans="1:11" ht="15">
      <c r="A79" s="6"/>
    </row>
    <row r="80" spans="1:11" ht="15">
      <c r="A80" s="1" t="s">
        <v>46</v>
      </c>
    </row>
    <row r="81" spans="1:11" s="5" customFormat="1" ht="15">
      <c r="A81" s="3" t="s">
        <v>11</v>
      </c>
      <c r="B81" s="4">
        <v>42094</v>
      </c>
      <c r="C81" s="4">
        <v>42460</v>
      </c>
      <c r="D81" s="4">
        <v>42825</v>
      </c>
      <c r="E81" s="4">
        <v>43190</v>
      </c>
      <c r="F81" s="4">
        <v>43555</v>
      </c>
      <c r="G81" s="4">
        <v>43921</v>
      </c>
      <c r="H81" s="4">
        <v>44286</v>
      </c>
      <c r="I81" s="4">
        <v>44651</v>
      </c>
      <c r="J81" s="4">
        <v>45016</v>
      </c>
      <c r="K81" s="4">
        <v>45382</v>
      </c>
    </row>
    <row r="82" spans="1:11" s="1" customFormat="1" ht="15">
      <c r="A82" s="6" t="s">
        <v>47</v>
      </c>
      <c r="B82">
        <v>35531.26</v>
      </c>
      <c r="C82">
        <v>37899.54</v>
      </c>
      <c r="D82">
        <v>30199.25</v>
      </c>
      <c r="E82">
        <v>23857.42</v>
      </c>
      <c r="F82">
        <v>18890.75</v>
      </c>
      <c r="G82">
        <v>26632.94</v>
      </c>
      <c r="H82">
        <v>29000.51</v>
      </c>
      <c r="I82">
        <v>14282.83</v>
      </c>
      <c r="J82">
        <v>35388.01</v>
      </c>
      <c r="K82">
        <v>67915.360000000001</v>
      </c>
    </row>
    <row r="83" spans="1:11" s="6" customFormat="1" ht="15">
      <c r="A83" s="6" t="s">
        <v>48</v>
      </c>
      <c r="B83">
        <v>-36232.35</v>
      </c>
      <c r="C83">
        <v>-36693.9</v>
      </c>
      <c r="D83">
        <v>-39571.4</v>
      </c>
      <c r="E83">
        <v>-25139.14</v>
      </c>
      <c r="F83">
        <v>-20878.07</v>
      </c>
      <c r="G83">
        <v>-33114.550000000003</v>
      </c>
      <c r="H83">
        <v>-25672.5</v>
      </c>
      <c r="I83">
        <v>-4443.66</v>
      </c>
      <c r="J83">
        <v>-15417.17</v>
      </c>
      <c r="K83">
        <v>-22781.56</v>
      </c>
    </row>
    <row r="84" spans="1:11" s="6" customFormat="1" ht="15">
      <c r="A84" s="6" t="s">
        <v>49</v>
      </c>
      <c r="B84">
        <v>5201.4399999999996</v>
      </c>
      <c r="C84">
        <v>-3795.12</v>
      </c>
      <c r="D84">
        <v>6205.3</v>
      </c>
      <c r="E84">
        <v>2011.71</v>
      </c>
      <c r="F84">
        <v>8830.3700000000008</v>
      </c>
      <c r="G84">
        <v>3389.61</v>
      </c>
      <c r="H84">
        <v>9904.2000000000007</v>
      </c>
      <c r="I84">
        <v>-3380.17</v>
      </c>
      <c r="J84">
        <v>-26242.9</v>
      </c>
      <c r="K84">
        <v>-37005.99</v>
      </c>
    </row>
    <row r="85" spans="1:11" s="1" customFormat="1" ht="15">
      <c r="A85" s="6" t="s">
        <v>50</v>
      </c>
      <c r="B85">
        <v>4500.3500000000004</v>
      </c>
      <c r="C85">
        <v>-2589.48</v>
      </c>
      <c r="D85">
        <v>-3166.85</v>
      </c>
      <c r="E85">
        <v>729.99</v>
      </c>
      <c r="F85">
        <v>6843.05</v>
      </c>
      <c r="G85">
        <v>-3092</v>
      </c>
      <c r="H85">
        <v>13232.21</v>
      </c>
      <c r="I85">
        <v>6459</v>
      </c>
      <c r="J85">
        <v>-6272.06</v>
      </c>
      <c r="K85">
        <v>8127.81</v>
      </c>
    </row>
    <row r="86" spans="1:11" ht="15">
      <c r="A86" s="6"/>
    </row>
    <row r="87" spans="1:11" ht="15">
      <c r="A87" s="6"/>
    </row>
    <row r="88" spans="1:11" ht="15">
      <c r="A88" s="6"/>
    </row>
    <row r="89" spans="1:11" ht="15">
      <c r="A89" s="6"/>
    </row>
    <row r="90" spans="1:11" s="1" customFormat="1" ht="15">
      <c r="A90" s="1" t="s">
        <v>51</v>
      </c>
      <c r="B90">
        <v>544.37</v>
      </c>
      <c r="C90">
        <v>386.6</v>
      </c>
      <c r="D90">
        <v>465.85</v>
      </c>
      <c r="E90">
        <v>326.85000000000002</v>
      </c>
      <c r="F90">
        <v>174.25</v>
      </c>
      <c r="G90">
        <v>71.05</v>
      </c>
      <c r="H90">
        <v>301.8</v>
      </c>
      <c r="I90">
        <v>433.75</v>
      </c>
      <c r="J90">
        <v>420.8</v>
      </c>
      <c r="K90">
        <v>992.8</v>
      </c>
    </row>
    <row r="92" spans="1:11" s="1" customFormat="1" ht="15">
      <c r="A92" s="1" t="s">
        <v>52</v>
      </c>
    </row>
    <row r="93" spans="1:11">
      <c r="A93" s="2" t="s">
        <v>53</v>
      </c>
      <c r="B93" s="2">
        <v>288.74</v>
      </c>
      <c r="C93" s="2">
        <v>288.72000000000003</v>
      </c>
      <c r="D93" s="2">
        <v>288.73</v>
      </c>
      <c r="E93" s="2">
        <v>288.73</v>
      </c>
      <c r="F93" s="2">
        <v>288.73</v>
      </c>
      <c r="G93" s="2">
        <v>308.89999999999998</v>
      </c>
      <c r="H93" s="2">
        <v>332.03</v>
      </c>
      <c r="I93" s="2">
        <v>332.07</v>
      </c>
      <c r="J93" s="2">
        <v>332.13</v>
      </c>
      <c r="K93" s="2">
        <v>332.37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EA25400E-19CD-F548-9144-1B2BDA169EE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2496B-12BE-074E-BFB6-57E9F58207A1}">
  <dimension ref="B2:N33"/>
  <sheetViews>
    <sheetView zoomScale="134" zoomScaleNormal="100" workbookViewId="0">
      <selection activeCell="B25" sqref="B25:B32"/>
    </sheetView>
  </sheetViews>
  <sheetFormatPr baseColWidth="10" defaultRowHeight="14"/>
  <cols>
    <col min="2" max="2" width="26.59765625" customWidth="1"/>
  </cols>
  <sheetData>
    <row r="2" spans="2:14">
      <c r="C2" s="19">
        <v>41334</v>
      </c>
      <c r="D2" s="19">
        <v>41699</v>
      </c>
      <c r="E2" s="19">
        <v>42064</v>
      </c>
      <c r="F2" s="19">
        <v>42430</v>
      </c>
      <c r="G2" s="19">
        <v>42795</v>
      </c>
      <c r="H2" s="19">
        <v>43160</v>
      </c>
      <c r="I2" s="19">
        <v>43525</v>
      </c>
      <c r="J2" s="19">
        <v>43891</v>
      </c>
      <c r="K2" s="19">
        <v>44256</v>
      </c>
      <c r="L2" s="19">
        <v>44621</v>
      </c>
      <c r="M2" s="19">
        <v>44986</v>
      </c>
      <c r="N2" s="19">
        <v>45352</v>
      </c>
    </row>
    <row r="3" spans="2:14">
      <c r="B3" t="s">
        <v>88</v>
      </c>
      <c r="C3" s="20">
        <v>22163</v>
      </c>
      <c r="D3" s="20">
        <v>36151</v>
      </c>
      <c r="E3" s="20">
        <v>35531</v>
      </c>
      <c r="F3" s="20">
        <v>37900</v>
      </c>
      <c r="G3" s="20">
        <v>30199</v>
      </c>
      <c r="H3" s="20">
        <v>23857</v>
      </c>
      <c r="I3" s="20">
        <v>18891</v>
      </c>
      <c r="J3" s="20">
        <v>26633</v>
      </c>
      <c r="K3" s="20">
        <v>29001</v>
      </c>
      <c r="L3" s="20">
        <v>14283</v>
      </c>
      <c r="M3" s="20">
        <v>35388</v>
      </c>
      <c r="N3" s="20">
        <v>67915</v>
      </c>
    </row>
    <row r="4" spans="2:14">
      <c r="B4" t="s">
        <v>89</v>
      </c>
      <c r="C4" s="20">
        <v>24406</v>
      </c>
      <c r="D4" s="20">
        <v>36303</v>
      </c>
      <c r="E4" s="20">
        <v>43397</v>
      </c>
      <c r="F4" s="20">
        <v>38626</v>
      </c>
      <c r="G4" s="20">
        <v>28840</v>
      </c>
      <c r="H4" s="20">
        <v>33312</v>
      </c>
      <c r="I4" s="20">
        <v>28771</v>
      </c>
      <c r="J4" s="20">
        <v>23352</v>
      </c>
      <c r="K4" s="20">
        <v>31198</v>
      </c>
      <c r="L4" s="20">
        <v>26943</v>
      </c>
      <c r="M4" s="20">
        <v>41694</v>
      </c>
      <c r="N4" s="20">
        <v>65106</v>
      </c>
    </row>
    <row r="5" spans="2:14">
      <c r="B5" t="s">
        <v>40</v>
      </c>
      <c r="C5" s="20">
        <v>-5177</v>
      </c>
      <c r="D5">
        <v>445</v>
      </c>
      <c r="E5" s="20">
        <v>-3179</v>
      </c>
      <c r="F5" s="20">
        <v>-2223</v>
      </c>
      <c r="G5" s="20">
        <v>-4152</v>
      </c>
      <c r="H5" s="20">
        <v>-10688</v>
      </c>
      <c r="I5" s="20">
        <v>-9109</v>
      </c>
      <c r="J5" s="20">
        <v>9950</v>
      </c>
      <c r="K5" s="20">
        <v>-5505</v>
      </c>
      <c r="L5">
        <v>185</v>
      </c>
      <c r="M5" s="20">
        <v>-2213</v>
      </c>
      <c r="N5" s="20">
        <v>-1875</v>
      </c>
    </row>
    <row r="6" spans="2:14">
      <c r="B6" t="s">
        <v>41</v>
      </c>
      <c r="C6" s="20">
        <v>-2656</v>
      </c>
      <c r="D6" s="20">
        <v>-2853</v>
      </c>
      <c r="E6" s="20">
        <v>-3692</v>
      </c>
      <c r="F6" s="20">
        <v>-5743</v>
      </c>
      <c r="G6" s="20">
        <v>-6621</v>
      </c>
      <c r="H6" s="20">
        <v>-3560</v>
      </c>
      <c r="I6" s="20">
        <v>2069</v>
      </c>
      <c r="J6" s="20">
        <v>2326</v>
      </c>
      <c r="K6" s="20">
        <v>3814</v>
      </c>
      <c r="L6">
        <v>472</v>
      </c>
      <c r="M6" s="20">
        <v>-5665</v>
      </c>
      <c r="N6" s="20">
        <v>-7265</v>
      </c>
    </row>
    <row r="7" spans="2:14">
      <c r="B7" t="s">
        <v>90</v>
      </c>
      <c r="C7" s="20">
        <v>8132</v>
      </c>
      <c r="D7" s="20">
        <v>4694</v>
      </c>
      <c r="E7" s="20">
        <v>3598</v>
      </c>
      <c r="F7" s="20">
        <v>3947</v>
      </c>
      <c r="G7" s="20">
        <v>9301</v>
      </c>
      <c r="H7" s="20">
        <v>7320</v>
      </c>
      <c r="I7" s="20">
        <v>-4692</v>
      </c>
      <c r="J7" s="20">
        <v>-8085</v>
      </c>
      <c r="K7" s="20">
        <v>5748</v>
      </c>
      <c r="L7" s="20">
        <v>-7012</v>
      </c>
      <c r="M7" s="20">
        <v>6945</v>
      </c>
      <c r="N7" s="20">
        <v>13706</v>
      </c>
    </row>
    <row r="8" spans="2:14">
      <c r="B8" t="s">
        <v>91</v>
      </c>
      <c r="C8">
        <v>0</v>
      </c>
      <c r="D8">
        <v>0</v>
      </c>
      <c r="E8">
        <v>0</v>
      </c>
      <c r="F8">
        <v>-520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2:14">
      <c r="B9" t="s">
        <v>92</v>
      </c>
      <c r="C9">
        <v>-303</v>
      </c>
      <c r="D9" s="20">
        <v>1870</v>
      </c>
      <c r="E9">
        <v>-398</v>
      </c>
      <c r="F9" s="20">
        <v>5852</v>
      </c>
      <c r="G9" s="20">
        <v>4727</v>
      </c>
      <c r="H9">
        <v>494</v>
      </c>
      <c r="I9" s="20">
        <v>4512</v>
      </c>
      <c r="J9">
        <v>875</v>
      </c>
      <c r="K9" s="20">
        <v>-4150</v>
      </c>
      <c r="L9" s="20">
        <v>-4396</v>
      </c>
      <c r="M9" s="20">
        <v>-2194</v>
      </c>
      <c r="N9" s="20">
        <v>2760</v>
      </c>
    </row>
    <row r="10" spans="2:14">
      <c r="B10" t="s">
        <v>93</v>
      </c>
      <c r="C10">
        <v>-3</v>
      </c>
      <c r="D10" s="20">
        <v>4157</v>
      </c>
      <c r="E10" s="20">
        <v>-3672</v>
      </c>
      <c r="F10" s="20">
        <v>1313</v>
      </c>
      <c r="G10" s="20">
        <v>3254</v>
      </c>
      <c r="H10" s="20">
        <v>-6434</v>
      </c>
      <c r="I10" s="20">
        <v>-7221</v>
      </c>
      <c r="J10" s="20">
        <v>5065</v>
      </c>
      <c r="K10">
        <v>-93</v>
      </c>
      <c r="L10" s="20">
        <v>-10750</v>
      </c>
      <c r="M10" s="20">
        <v>-3127</v>
      </c>
      <c r="N10" s="20">
        <v>7325</v>
      </c>
    </row>
    <row r="11" spans="2:14">
      <c r="B11" t="s">
        <v>94</v>
      </c>
      <c r="C11" s="20">
        <v>-2240</v>
      </c>
      <c r="D11" s="20">
        <v>-4308</v>
      </c>
      <c r="E11" s="20">
        <v>-4194</v>
      </c>
      <c r="F11" s="20">
        <v>-2040</v>
      </c>
      <c r="G11" s="20">
        <v>-1895</v>
      </c>
      <c r="H11" s="20">
        <v>-3021</v>
      </c>
      <c r="I11" s="20">
        <v>-2659</v>
      </c>
      <c r="J11" s="20">
        <v>-1785</v>
      </c>
      <c r="K11" s="20">
        <v>-2105</v>
      </c>
      <c r="L11" s="20">
        <v>-1910</v>
      </c>
      <c r="M11" s="20">
        <v>-3179</v>
      </c>
      <c r="N11" s="20">
        <v>-4516</v>
      </c>
    </row>
    <row r="12" spans="2:14">
      <c r="B12" t="s">
        <v>95</v>
      </c>
      <c r="C12" s="20">
        <v>-22969</v>
      </c>
      <c r="D12" s="20">
        <v>-27991</v>
      </c>
      <c r="E12" s="20">
        <v>-36232</v>
      </c>
      <c r="F12" s="20">
        <v>-36694</v>
      </c>
      <c r="G12" s="20">
        <v>-39571</v>
      </c>
      <c r="H12" s="20">
        <v>-25139</v>
      </c>
      <c r="I12" s="20">
        <v>-20878</v>
      </c>
      <c r="J12" s="20">
        <v>-33115</v>
      </c>
      <c r="K12" s="20">
        <v>-25672</v>
      </c>
      <c r="L12" s="20">
        <v>-4444</v>
      </c>
      <c r="M12" s="20">
        <v>-15417</v>
      </c>
      <c r="N12" s="20">
        <v>-22782</v>
      </c>
    </row>
    <row r="13" spans="2:14">
      <c r="B13" t="s">
        <v>96</v>
      </c>
      <c r="C13" s="20">
        <v>-18863</v>
      </c>
      <c r="D13" s="20">
        <v>-26975</v>
      </c>
      <c r="E13" s="20">
        <v>-31962</v>
      </c>
      <c r="F13" s="20">
        <v>-31503</v>
      </c>
      <c r="G13" s="20">
        <v>-16072</v>
      </c>
      <c r="H13" s="20">
        <v>-35079</v>
      </c>
      <c r="I13" s="20">
        <v>-35304</v>
      </c>
      <c r="J13" s="20">
        <v>-29702</v>
      </c>
      <c r="K13" s="20">
        <v>-20205</v>
      </c>
      <c r="L13" s="20">
        <v>-15168</v>
      </c>
      <c r="M13" s="20">
        <v>-19230</v>
      </c>
      <c r="N13" s="20">
        <v>-31414</v>
      </c>
    </row>
    <row r="14" spans="2:14">
      <c r="B14" t="s">
        <v>97</v>
      </c>
      <c r="C14">
        <v>37</v>
      </c>
      <c r="D14">
        <v>50</v>
      </c>
      <c r="E14">
        <v>74</v>
      </c>
      <c r="F14">
        <v>59</v>
      </c>
      <c r="G14">
        <v>53</v>
      </c>
      <c r="H14">
        <v>30</v>
      </c>
      <c r="I14">
        <v>67</v>
      </c>
      <c r="J14">
        <v>171</v>
      </c>
      <c r="K14">
        <v>351</v>
      </c>
      <c r="L14">
        <v>230</v>
      </c>
      <c r="M14">
        <v>285</v>
      </c>
      <c r="N14">
        <v>231</v>
      </c>
    </row>
    <row r="15" spans="2:14">
      <c r="B15" t="s">
        <v>98</v>
      </c>
      <c r="C15">
        <v>73</v>
      </c>
      <c r="D15">
        <v>-429</v>
      </c>
      <c r="E15" s="20">
        <v>-5461</v>
      </c>
      <c r="F15" s="20">
        <v>-4728</v>
      </c>
      <c r="G15">
        <v>-6</v>
      </c>
      <c r="H15">
        <v>-329</v>
      </c>
      <c r="I15">
        <v>-130</v>
      </c>
      <c r="J15" s="20">
        <v>-1439</v>
      </c>
      <c r="K15" s="20">
        <v>-7530</v>
      </c>
      <c r="L15" s="20">
        <v>-3008</v>
      </c>
      <c r="M15">
        <v>-50</v>
      </c>
      <c r="N15">
        <v>-74</v>
      </c>
    </row>
    <row r="16" spans="2:14">
      <c r="B16" t="s">
        <v>99</v>
      </c>
      <c r="C16">
        <v>34</v>
      </c>
      <c r="D16">
        <v>4</v>
      </c>
      <c r="E16">
        <v>42</v>
      </c>
      <c r="F16">
        <v>89</v>
      </c>
      <c r="G16" s="20">
        <v>1965</v>
      </c>
      <c r="H16" s="20">
        <v>2381</v>
      </c>
      <c r="I16" s="20">
        <v>5644</v>
      </c>
      <c r="J16">
        <v>21</v>
      </c>
      <c r="K16">
        <v>226</v>
      </c>
      <c r="L16">
        <v>104</v>
      </c>
      <c r="M16" s="20">
        <v>6895</v>
      </c>
      <c r="N16" s="20">
        <v>10820</v>
      </c>
    </row>
    <row r="17" spans="2:14">
      <c r="B17" t="s">
        <v>100</v>
      </c>
      <c r="C17">
        <v>713</v>
      </c>
      <c r="D17">
        <v>653</v>
      </c>
      <c r="E17">
        <v>698</v>
      </c>
      <c r="F17">
        <v>731</v>
      </c>
      <c r="G17">
        <v>638</v>
      </c>
      <c r="H17">
        <v>690</v>
      </c>
      <c r="I17">
        <v>761</v>
      </c>
      <c r="J17" s="20">
        <v>1104</v>
      </c>
      <c r="K17">
        <v>428</v>
      </c>
      <c r="L17">
        <v>653</v>
      </c>
      <c r="M17">
        <v>973</v>
      </c>
      <c r="N17" s="20">
        <v>2493</v>
      </c>
    </row>
    <row r="18" spans="2:14">
      <c r="B18" t="s">
        <v>101</v>
      </c>
      <c r="C18">
        <v>95</v>
      </c>
      <c r="D18">
        <v>40</v>
      </c>
      <c r="E18">
        <v>80</v>
      </c>
      <c r="F18">
        <v>58</v>
      </c>
      <c r="G18">
        <v>620</v>
      </c>
      <c r="H18" s="20">
        <v>1797</v>
      </c>
      <c r="I18">
        <v>232</v>
      </c>
      <c r="J18">
        <v>21</v>
      </c>
      <c r="K18">
        <v>18</v>
      </c>
      <c r="L18">
        <v>32</v>
      </c>
      <c r="M18">
        <v>46</v>
      </c>
      <c r="N18">
        <v>47</v>
      </c>
    </row>
    <row r="19" spans="2:14">
      <c r="B19" t="s">
        <v>102</v>
      </c>
      <c r="C19">
        <v>0</v>
      </c>
      <c r="D19">
        <v>0</v>
      </c>
      <c r="E19">
        <v>-160</v>
      </c>
      <c r="F19">
        <v>0</v>
      </c>
      <c r="G19">
        <v>-107</v>
      </c>
      <c r="H19">
        <v>-4</v>
      </c>
      <c r="I19">
        <v>-9</v>
      </c>
      <c r="J19">
        <v>-606</v>
      </c>
      <c r="K19">
        <v>-10</v>
      </c>
      <c r="L19">
        <v>0</v>
      </c>
      <c r="M19">
        <v>0</v>
      </c>
      <c r="N19">
        <v>-150</v>
      </c>
    </row>
    <row r="20" spans="2:14">
      <c r="B20" t="s">
        <v>103</v>
      </c>
      <c r="C20">
        <v>0</v>
      </c>
      <c r="D20">
        <v>0</v>
      </c>
      <c r="E20">
        <v>0</v>
      </c>
      <c r="F20">
        <v>0</v>
      </c>
      <c r="G20">
        <v>0</v>
      </c>
      <c r="H20">
        <v>14</v>
      </c>
      <c r="I20">
        <v>533</v>
      </c>
      <c r="J20">
        <v>0</v>
      </c>
      <c r="K20">
        <v>0</v>
      </c>
      <c r="L20">
        <v>0</v>
      </c>
      <c r="M20">
        <v>19</v>
      </c>
      <c r="N20">
        <v>108</v>
      </c>
    </row>
    <row r="21" spans="2:14">
      <c r="B21" t="s">
        <v>104</v>
      </c>
      <c r="C21">
        <v>0</v>
      </c>
      <c r="D21">
        <v>-185</v>
      </c>
      <c r="E21">
        <v>0</v>
      </c>
      <c r="F21">
        <v>-111</v>
      </c>
      <c r="G21">
        <v>0</v>
      </c>
      <c r="H21">
        <v>0</v>
      </c>
      <c r="I21">
        <v>-8</v>
      </c>
      <c r="J21">
        <v>-27</v>
      </c>
      <c r="K21">
        <v>0</v>
      </c>
      <c r="L21">
        <v>-98</v>
      </c>
      <c r="M21">
        <v>0</v>
      </c>
      <c r="N21">
        <v>0</v>
      </c>
    </row>
    <row r="22" spans="2:14">
      <c r="B22" t="s">
        <v>105</v>
      </c>
      <c r="C22">
        <v>45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-24</v>
      </c>
    </row>
    <row r="23" spans="2:14">
      <c r="B23" t="s">
        <v>106</v>
      </c>
      <c r="C23" s="20">
        <v>-5103</v>
      </c>
      <c r="D23" s="20">
        <v>-1149</v>
      </c>
      <c r="E23">
        <v>456</v>
      </c>
      <c r="F23" s="20">
        <v>-1289</v>
      </c>
      <c r="G23" s="20">
        <v>-26663</v>
      </c>
      <c r="H23" s="20">
        <v>5360</v>
      </c>
      <c r="I23" s="20">
        <v>7335</v>
      </c>
      <c r="J23" s="20">
        <v>-2659</v>
      </c>
      <c r="K23" s="20">
        <v>1051</v>
      </c>
      <c r="L23" s="20">
        <v>12813</v>
      </c>
      <c r="M23" s="20">
        <v>-4357</v>
      </c>
      <c r="N23" s="20">
        <v>-4817</v>
      </c>
    </row>
    <row r="24" spans="2:14">
      <c r="B24" t="s">
        <v>107</v>
      </c>
      <c r="C24" s="20">
        <v>-1692</v>
      </c>
      <c r="D24" s="20">
        <v>-3883</v>
      </c>
      <c r="E24" s="20">
        <v>5201</v>
      </c>
      <c r="F24" s="20">
        <v>-3795</v>
      </c>
      <c r="G24" s="20">
        <v>6205</v>
      </c>
      <c r="H24" s="20">
        <v>2012</v>
      </c>
      <c r="I24" s="20">
        <v>8830</v>
      </c>
      <c r="J24" s="20">
        <v>3390</v>
      </c>
      <c r="K24" s="20">
        <v>9904</v>
      </c>
      <c r="L24" s="20">
        <v>-3380</v>
      </c>
      <c r="M24" s="20">
        <v>-26243</v>
      </c>
      <c r="N24" s="20">
        <v>-37006</v>
      </c>
    </row>
    <row r="25" spans="2:14">
      <c r="B25" t="s">
        <v>108</v>
      </c>
      <c r="C25">
        <v>1</v>
      </c>
      <c r="D25">
        <v>0</v>
      </c>
      <c r="E25">
        <v>0</v>
      </c>
      <c r="F25" s="20">
        <v>7433</v>
      </c>
      <c r="G25">
        <v>5</v>
      </c>
      <c r="H25">
        <v>0</v>
      </c>
      <c r="I25">
        <v>0</v>
      </c>
      <c r="J25" s="20">
        <v>3889</v>
      </c>
      <c r="K25" s="20">
        <v>2603</v>
      </c>
      <c r="L25">
        <v>19</v>
      </c>
      <c r="M25">
        <v>20</v>
      </c>
      <c r="N25">
        <v>82</v>
      </c>
    </row>
    <row r="26" spans="2:14">
      <c r="B26" t="s">
        <v>109</v>
      </c>
      <c r="C26">
        <v>-97</v>
      </c>
      <c r="D26">
        <v>-658</v>
      </c>
      <c r="E26">
        <v>-744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2:14">
      <c r="B27" t="s">
        <v>110</v>
      </c>
      <c r="C27" s="20">
        <v>27863</v>
      </c>
      <c r="D27" s="20">
        <v>33258</v>
      </c>
      <c r="E27" s="20">
        <v>36363</v>
      </c>
      <c r="F27" s="20">
        <v>19519</v>
      </c>
      <c r="G27" s="20">
        <v>33390</v>
      </c>
      <c r="H27" s="20">
        <v>37482</v>
      </c>
      <c r="I27" s="20">
        <v>51128</v>
      </c>
      <c r="J27" s="20">
        <v>38297</v>
      </c>
      <c r="K27" s="20">
        <v>46641</v>
      </c>
      <c r="L27" s="20">
        <v>46578</v>
      </c>
      <c r="M27" s="20">
        <v>43934</v>
      </c>
      <c r="N27" s="20">
        <v>18747</v>
      </c>
    </row>
    <row r="28" spans="2:14">
      <c r="B28" t="s">
        <v>111</v>
      </c>
      <c r="C28" s="20">
        <v>-20395</v>
      </c>
      <c r="D28" s="20">
        <v>-29141</v>
      </c>
      <c r="E28" s="20">
        <v>-23332</v>
      </c>
      <c r="F28" s="20">
        <v>-24924</v>
      </c>
      <c r="G28" s="20">
        <v>-21732</v>
      </c>
      <c r="H28" s="20">
        <v>-29964</v>
      </c>
      <c r="I28" s="20">
        <v>-35198</v>
      </c>
      <c r="J28" s="20">
        <v>-29847</v>
      </c>
      <c r="K28" s="20">
        <v>-29709</v>
      </c>
      <c r="L28" s="20">
        <v>-42816</v>
      </c>
      <c r="M28" s="20">
        <v>-62557</v>
      </c>
      <c r="N28" s="20">
        <v>-47332</v>
      </c>
    </row>
    <row r="29" spans="2:14">
      <c r="B29" t="s">
        <v>112</v>
      </c>
      <c r="C29" s="20">
        <v>-4666</v>
      </c>
      <c r="D29" s="20">
        <v>-6171</v>
      </c>
      <c r="E29" s="20">
        <v>-6307</v>
      </c>
      <c r="F29" s="20">
        <v>-5716</v>
      </c>
      <c r="G29" s="20">
        <v>-5336</v>
      </c>
      <c r="H29" s="20">
        <v>-5411</v>
      </c>
      <c r="I29" s="20">
        <v>-7005</v>
      </c>
      <c r="J29" s="20">
        <v>-7518</v>
      </c>
      <c r="K29" s="20">
        <v>-8123</v>
      </c>
      <c r="L29" s="20">
        <v>-9251</v>
      </c>
      <c r="M29" s="20">
        <v>-9336</v>
      </c>
      <c r="N29" s="20">
        <v>-9332</v>
      </c>
    </row>
    <row r="30" spans="2:14">
      <c r="B30" t="s">
        <v>113</v>
      </c>
      <c r="C30" s="20">
        <v>-1551</v>
      </c>
      <c r="D30">
        <v>-722</v>
      </c>
      <c r="E30">
        <v>-720</v>
      </c>
      <c r="F30">
        <v>-108</v>
      </c>
      <c r="G30">
        <v>-121</v>
      </c>
      <c r="H30">
        <v>-96</v>
      </c>
      <c r="I30">
        <v>-95</v>
      </c>
      <c r="J30">
        <v>-57</v>
      </c>
      <c r="K30">
        <v>-30</v>
      </c>
      <c r="L30">
        <v>-100</v>
      </c>
      <c r="M30">
        <v>-141</v>
      </c>
      <c r="N30" s="20">
        <v>-1059</v>
      </c>
    </row>
    <row r="31" spans="2:14">
      <c r="B31" t="s">
        <v>114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20">
        <v>-1346</v>
      </c>
      <c r="K31" s="20">
        <v>-1477</v>
      </c>
      <c r="L31" s="20">
        <v>-1559</v>
      </c>
      <c r="M31" s="20">
        <v>-1517</v>
      </c>
      <c r="N31" s="20">
        <v>-1924</v>
      </c>
    </row>
    <row r="32" spans="2:14">
      <c r="B32" t="s">
        <v>115</v>
      </c>
      <c r="C32" s="20">
        <v>-2849</v>
      </c>
      <c r="D32">
        <v>-450</v>
      </c>
      <c r="E32">
        <v>-57</v>
      </c>
      <c r="F32">
        <v>0</v>
      </c>
      <c r="G32">
        <v>0</v>
      </c>
      <c r="H32">
        <v>0</v>
      </c>
      <c r="I32">
        <v>0</v>
      </c>
      <c r="J32">
        <v>-29</v>
      </c>
      <c r="K32">
        <v>0</v>
      </c>
      <c r="L32" s="20">
        <v>3750</v>
      </c>
      <c r="M32" s="20">
        <v>3355</v>
      </c>
      <c r="N32" s="20">
        <v>3812</v>
      </c>
    </row>
    <row r="33" spans="2:14">
      <c r="B33" t="s">
        <v>50</v>
      </c>
      <c r="C33" s="20">
        <v>-2499</v>
      </c>
      <c r="D33" s="20">
        <v>4277</v>
      </c>
      <c r="E33" s="20">
        <v>4500</v>
      </c>
      <c r="F33" s="20">
        <v>-2589</v>
      </c>
      <c r="G33" s="20">
        <v>-3167</v>
      </c>
      <c r="H33">
        <v>730</v>
      </c>
      <c r="I33" s="20">
        <v>6843</v>
      </c>
      <c r="J33" s="20">
        <v>-3092</v>
      </c>
      <c r="K33" s="20">
        <v>13232</v>
      </c>
      <c r="L33" s="20">
        <v>6459</v>
      </c>
      <c r="M33" s="20">
        <v>-6272</v>
      </c>
      <c r="N33" s="20">
        <v>8128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65DD-05B0-DC4E-A4FF-57254D3CF5C7}">
  <dimension ref="B1:M111"/>
  <sheetViews>
    <sheetView showGridLines="0" topLeftCell="A62" zoomScale="156" workbookViewId="0">
      <selection activeCell="B5" sqref="B5"/>
    </sheetView>
  </sheetViews>
  <sheetFormatPr baseColWidth="10" defaultRowHeight="14"/>
  <cols>
    <col min="1" max="1" width="2.59765625" customWidth="1"/>
    <col min="2" max="2" width="13.3984375" bestFit="1" customWidth="1"/>
    <col min="3" max="6" width="8.59765625" bestFit="1" customWidth="1"/>
    <col min="7" max="7" width="9.3984375" bestFit="1" customWidth="1"/>
    <col min="8" max="8" width="9.59765625" bestFit="1" customWidth="1"/>
  </cols>
  <sheetData>
    <row r="1" spans="2:13">
      <c r="B1" s="91"/>
      <c r="C1" s="91"/>
      <c r="D1" s="91"/>
      <c r="E1" s="91"/>
      <c r="F1" s="91"/>
      <c r="G1" s="91"/>
      <c r="H1" s="91"/>
      <c r="I1" s="91"/>
      <c r="J1" s="91"/>
    </row>
    <row r="2" spans="2:13">
      <c r="B2" s="92" t="s">
        <v>227</v>
      </c>
      <c r="C2" s="91"/>
      <c r="D2" s="91"/>
      <c r="E2" s="91"/>
      <c r="F2" s="91"/>
      <c r="G2" s="91"/>
      <c r="H2" s="91"/>
      <c r="I2" s="91"/>
      <c r="J2" s="91"/>
    </row>
    <row r="3" spans="2:13">
      <c r="B3" s="91"/>
      <c r="C3" s="91"/>
      <c r="D3" s="91"/>
      <c r="E3" s="91"/>
      <c r="F3" s="91"/>
      <c r="G3" s="91"/>
      <c r="H3" s="91"/>
      <c r="I3" s="91"/>
      <c r="J3" s="91"/>
    </row>
    <row r="4" spans="2:13">
      <c r="B4" s="91"/>
      <c r="C4" s="91"/>
      <c r="D4" s="91"/>
      <c r="E4" s="91"/>
      <c r="F4" s="91"/>
      <c r="G4" s="91"/>
      <c r="H4" s="91"/>
      <c r="I4" s="91"/>
      <c r="J4" s="91"/>
    </row>
    <row r="5" spans="2:13">
      <c r="B5" s="10" t="s">
        <v>228</v>
      </c>
    </row>
    <row r="6" spans="2:13">
      <c r="B6" t="s">
        <v>229</v>
      </c>
      <c r="C6" t="s">
        <v>230</v>
      </c>
      <c r="D6" t="s">
        <v>231</v>
      </c>
      <c r="E6" t="s">
        <v>232</v>
      </c>
      <c r="F6" t="s">
        <v>233</v>
      </c>
      <c r="G6" t="s">
        <v>234</v>
      </c>
      <c r="H6" t="s">
        <v>235</v>
      </c>
    </row>
    <row r="7" spans="2:13">
      <c r="B7" t="s">
        <v>236</v>
      </c>
      <c r="C7" s="93">
        <v>3545.95</v>
      </c>
      <c r="D7" s="93">
        <v>3574.75</v>
      </c>
      <c r="E7" s="93">
        <v>3516.25</v>
      </c>
      <c r="F7" s="93">
        <v>3525.6</v>
      </c>
      <c r="G7" s="93">
        <v>3525.6</v>
      </c>
      <c r="H7" s="20">
        <v>493298</v>
      </c>
      <c r="J7" s="94" t="s">
        <v>341</v>
      </c>
      <c r="K7" t="str" cm="1">
        <f t="array" ref="K7:K111">TRIM(SUBSTITUTE(J7:J111, ",", ""))</f>
        <v>Feb 20 2023</v>
      </c>
      <c r="L7" s="95" t="s">
        <v>342</v>
      </c>
      <c r="M7" s="96" t="s">
        <v>447</v>
      </c>
    </row>
    <row r="8" spans="2:13">
      <c r="B8" t="s">
        <v>237</v>
      </c>
      <c r="C8" s="93">
        <v>3502</v>
      </c>
      <c r="D8" s="93">
        <v>3568.65</v>
      </c>
      <c r="E8" s="93">
        <v>3464.3</v>
      </c>
      <c r="F8" s="93">
        <v>3545</v>
      </c>
      <c r="G8" s="93">
        <v>3545</v>
      </c>
      <c r="H8" s="20">
        <v>1478793</v>
      </c>
      <c r="J8" t="s">
        <v>237</v>
      </c>
      <c r="K8" t="str">
        <v>Feb 13 2023</v>
      </c>
      <c r="L8" t="s">
        <v>343</v>
      </c>
      <c r="M8" s="96" t="s">
        <v>448</v>
      </c>
    </row>
    <row r="9" spans="2:13">
      <c r="B9" t="s">
        <v>238</v>
      </c>
      <c r="C9" s="93">
        <v>3476.5</v>
      </c>
      <c r="D9" s="93">
        <v>3544.25</v>
      </c>
      <c r="E9" s="93">
        <v>3432</v>
      </c>
      <c r="F9" s="93">
        <v>3498.85</v>
      </c>
      <c r="G9" s="93">
        <v>3498.85</v>
      </c>
      <c r="H9" s="20">
        <v>1666756</v>
      </c>
      <c r="J9" t="s">
        <v>238</v>
      </c>
      <c r="K9" t="str">
        <v>Feb 6 2023</v>
      </c>
      <c r="L9" t="s">
        <v>344</v>
      </c>
      <c r="M9" s="96">
        <v>45079</v>
      </c>
    </row>
    <row r="10" spans="2:13">
      <c r="B10" t="s">
        <v>239</v>
      </c>
      <c r="C10" s="93">
        <v>3574.9</v>
      </c>
      <c r="D10" s="93">
        <v>3582.15</v>
      </c>
      <c r="E10" s="93">
        <v>3465</v>
      </c>
      <c r="F10" s="93">
        <v>3470.35</v>
      </c>
      <c r="G10" s="93">
        <v>3470.35</v>
      </c>
      <c r="H10" s="20">
        <v>1717234</v>
      </c>
      <c r="J10" t="s">
        <v>239</v>
      </c>
      <c r="K10" t="str">
        <v>Jan 30 2023</v>
      </c>
      <c r="L10" t="s">
        <v>345</v>
      </c>
      <c r="M10" s="96" t="s">
        <v>449</v>
      </c>
    </row>
    <row r="11" spans="2:13">
      <c r="B11" t="s">
        <v>240</v>
      </c>
      <c r="C11" s="93">
        <v>3525</v>
      </c>
      <c r="D11" s="93">
        <v>3584</v>
      </c>
      <c r="E11" s="93">
        <v>3425</v>
      </c>
      <c r="F11" s="93">
        <v>3562.35</v>
      </c>
      <c r="G11" s="93">
        <v>3562.35</v>
      </c>
      <c r="H11" s="20">
        <v>2443496</v>
      </c>
      <c r="J11" t="s">
        <v>240</v>
      </c>
      <c r="K11" t="str">
        <v>Jan 23 2023</v>
      </c>
      <c r="L11" t="s">
        <v>346</v>
      </c>
      <c r="M11" s="96" t="s">
        <v>450</v>
      </c>
    </row>
    <row r="12" spans="2:13">
      <c r="B12" t="s">
        <v>241</v>
      </c>
      <c r="C12" s="93">
        <v>3690</v>
      </c>
      <c r="D12" s="93">
        <v>3748</v>
      </c>
      <c r="E12" s="93">
        <v>3510</v>
      </c>
      <c r="F12" s="93">
        <v>3513.75</v>
      </c>
      <c r="G12" s="93">
        <v>3513.75</v>
      </c>
      <c r="H12" s="20">
        <v>3787232</v>
      </c>
      <c r="J12" t="s">
        <v>241</v>
      </c>
      <c r="K12" t="str">
        <v>Jan 16 2023</v>
      </c>
      <c r="L12" t="s">
        <v>347</v>
      </c>
      <c r="M12" s="96" t="s">
        <v>451</v>
      </c>
    </row>
    <row r="13" spans="2:13">
      <c r="B13" t="s">
        <v>242</v>
      </c>
      <c r="C13" s="93">
        <v>3905.8</v>
      </c>
      <c r="D13" s="93">
        <v>3929.65</v>
      </c>
      <c r="E13" s="93">
        <v>3850.1</v>
      </c>
      <c r="F13" s="93">
        <v>3863.7</v>
      </c>
      <c r="G13" s="93">
        <v>3863.7</v>
      </c>
      <c r="H13" s="20">
        <v>1290263</v>
      </c>
      <c r="J13" t="s">
        <v>242</v>
      </c>
      <c r="K13" t="str">
        <v>Jan 9 2023</v>
      </c>
      <c r="L13" t="s">
        <v>348</v>
      </c>
      <c r="M13" s="96">
        <v>45170</v>
      </c>
    </row>
    <row r="14" spans="2:13">
      <c r="B14" t="s">
        <v>243</v>
      </c>
      <c r="C14" s="93">
        <v>4075</v>
      </c>
      <c r="D14" s="93">
        <v>4117.95</v>
      </c>
      <c r="E14" s="93">
        <v>3835</v>
      </c>
      <c r="F14" s="93">
        <v>3842.5</v>
      </c>
      <c r="G14" s="93">
        <v>3842.5</v>
      </c>
      <c r="H14" s="20">
        <v>1803216</v>
      </c>
      <c r="J14" t="s">
        <v>243</v>
      </c>
      <c r="K14" t="str">
        <v>Jan 2 2023</v>
      </c>
      <c r="L14" t="s">
        <v>349</v>
      </c>
      <c r="M14" s="96">
        <v>44958</v>
      </c>
    </row>
    <row r="15" spans="2:13">
      <c r="B15" t="s">
        <v>244</v>
      </c>
      <c r="C15" s="93">
        <v>3896</v>
      </c>
      <c r="D15" s="93">
        <v>4207.95</v>
      </c>
      <c r="E15" s="93">
        <v>3871</v>
      </c>
      <c r="F15" s="93">
        <v>4068.75</v>
      </c>
      <c r="G15" s="93">
        <v>4068.75</v>
      </c>
      <c r="H15" s="20">
        <v>1366734</v>
      </c>
      <c r="J15" t="s">
        <v>244</v>
      </c>
      <c r="K15" t="str">
        <v>Dec 26 2022</v>
      </c>
      <c r="L15" t="s">
        <v>350</v>
      </c>
      <c r="M15" s="96" t="s">
        <v>452</v>
      </c>
    </row>
    <row r="16" spans="2:13">
      <c r="B16" t="s">
        <v>245</v>
      </c>
      <c r="C16" s="93">
        <v>4020</v>
      </c>
      <c r="D16" s="93">
        <v>4138.6000000000004</v>
      </c>
      <c r="E16" s="93">
        <v>3835</v>
      </c>
      <c r="F16" s="93">
        <v>3875.6</v>
      </c>
      <c r="G16" s="93">
        <v>3875.6</v>
      </c>
      <c r="H16" s="20">
        <v>1308967</v>
      </c>
      <c r="J16" t="s">
        <v>245</v>
      </c>
      <c r="K16" t="str">
        <v>Dec 19 2022</v>
      </c>
      <c r="L16" t="s">
        <v>351</v>
      </c>
      <c r="M16" s="96" t="s">
        <v>453</v>
      </c>
    </row>
    <row r="17" spans="2:13">
      <c r="B17" t="s">
        <v>246</v>
      </c>
      <c r="C17" s="93">
        <v>3980</v>
      </c>
      <c r="D17" s="93">
        <v>4228.95</v>
      </c>
      <c r="E17" s="93">
        <v>3948</v>
      </c>
      <c r="F17" s="93">
        <v>3990</v>
      </c>
      <c r="G17" s="93">
        <v>3990</v>
      </c>
      <c r="H17" s="20">
        <v>1756180</v>
      </c>
      <c r="J17" t="s">
        <v>246</v>
      </c>
      <c r="K17" t="str">
        <v>Dec 12 2022</v>
      </c>
      <c r="L17" t="s">
        <v>352</v>
      </c>
      <c r="M17" s="96">
        <v>44907</v>
      </c>
    </row>
    <row r="18" spans="2:13">
      <c r="B18" t="s">
        <v>247</v>
      </c>
      <c r="C18" s="93">
        <v>4010</v>
      </c>
      <c r="D18" s="93">
        <v>4100</v>
      </c>
      <c r="E18" s="93">
        <v>3975</v>
      </c>
      <c r="F18" s="93">
        <v>4002.4</v>
      </c>
      <c r="G18" s="93">
        <v>4002.4</v>
      </c>
      <c r="H18" s="20">
        <v>1142757</v>
      </c>
      <c r="J18" t="s">
        <v>247</v>
      </c>
      <c r="K18" t="str">
        <v>Dec 5 2022</v>
      </c>
      <c r="L18" t="s">
        <v>353</v>
      </c>
      <c r="M18" s="96">
        <v>44693</v>
      </c>
    </row>
    <row r="19" spans="2:13">
      <c r="B19" t="s">
        <v>248</v>
      </c>
      <c r="C19" s="93">
        <v>3913.4</v>
      </c>
      <c r="D19" s="93">
        <v>4064</v>
      </c>
      <c r="E19" s="93">
        <v>3890</v>
      </c>
      <c r="F19" s="93">
        <v>4005.75</v>
      </c>
      <c r="G19" s="93">
        <v>4005.75</v>
      </c>
      <c r="H19" s="20">
        <v>1655437</v>
      </c>
      <c r="J19" t="s">
        <v>248</v>
      </c>
      <c r="K19" t="str">
        <v>Nov 28 2022</v>
      </c>
      <c r="L19" t="s">
        <v>354</v>
      </c>
      <c r="M19" s="96" t="s">
        <v>454</v>
      </c>
    </row>
    <row r="20" spans="2:13">
      <c r="B20" t="s">
        <v>249</v>
      </c>
      <c r="C20" s="93">
        <v>3923</v>
      </c>
      <c r="D20" s="93">
        <v>4026</v>
      </c>
      <c r="E20" s="93">
        <v>3871.05</v>
      </c>
      <c r="F20" s="93">
        <v>3904.45</v>
      </c>
      <c r="G20" s="93">
        <v>3904.45</v>
      </c>
      <c r="H20" s="20">
        <v>1339183</v>
      </c>
      <c r="J20" t="s">
        <v>249</v>
      </c>
      <c r="K20" t="str">
        <v>Nov 21 2022</v>
      </c>
      <c r="L20" t="s">
        <v>355</v>
      </c>
      <c r="M20" s="96" t="s">
        <v>455</v>
      </c>
    </row>
    <row r="21" spans="2:13">
      <c r="B21" t="s">
        <v>250</v>
      </c>
      <c r="C21" s="93">
        <v>4144.8</v>
      </c>
      <c r="D21" s="93">
        <v>4144.8</v>
      </c>
      <c r="E21" s="93">
        <v>3890.05</v>
      </c>
      <c r="F21" s="93">
        <v>3910.6</v>
      </c>
      <c r="G21" s="93">
        <v>3910.6</v>
      </c>
      <c r="H21" s="20">
        <v>1855544</v>
      </c>
      <c r="J21" t="s">
        <v>250</v>
      </c>
      <c r="K21" t="str">
        <v>Nov 14 2022</v>
      </c>
      <c r="L21" t="s">
        <v>356</v>
      </c>
      <c r="M21" s="96" t="s">
        <v>456</v>
      </c>
    </row>
    <row r="22" spans="2:13">
      <c r="B22" t="s">
        <v>251</v>
      </c>
      <c r="C22" s="93">
        <v>4188.8</v>
      </c>
      <c r="D22" s="93">
        <v>4214.1000000000004</v>
      </c>
      <c r="E22" s="93">
        <v>4104.3999999999996</v>
      </c>
      <c r="F22" s="93">
        <v>4128.3500000000004</v>
      </c>
      <c r="G22" s="93">
        <v>4128.3500000000004</v>
      </c>
      <c r="H22" s="20">
        <v>1225889</v>
      </c>
      <c r="J22" t="s">
        <v>251</v>
      </c>
      <c r="K22" t="str">
        <v>Nov 7 2022</v>
      </c>
      <c r="L22" t="s">
        <v>357</v>
      </c>
      <c r="M22" s="96">
        <v>44753</v>
      </c>
    </row>
    <row r="23" spans="2:13">
      <c r="B23" t="s">
        <v>252</v>
      </c>
      <c r="C23" s="93">
        <v>4316.5</v>
      </c>
      <c r="D23" s="93">
        <v>4348</v>
      </c>
      <c r="E23" s="93">
        <v>4150</v>
      </c>
      <c r="F23" s="93">
        <v>4167.3500000000004</v>
      </c>
      <c r="G23" s="93">
        <v>4167.3500000000004</v>
      </c>
      <c r="H23" s="20">
        <v>1375502</v>
      </c>
      <c r="J23" t="s">
        <v>252</v>
      </c>
      <c r="K23" t="str">
        <v>Oct 31 2022</v>
      </c>
      <c r="L23" t="s">
        <v>358</v>
      </c>
      <c r="M23" s="96" t="s">
        <v>457</v>
      </c>
    </row>
    <row r="24" spans="2:13">
      <c r="B24" t="s">
        <v>253</v>
      </c>
      <c r="C24" s="93">
        <v>4271.8999999999996</v>
      </c>
      <c r="D24" s="93">
        <v>4320</v>
      </c>
      <c r="E24" s="93">
        <v>4165</v>
      </c>
      <c r="F24" s="93">
        <v>4307.3500000000004</v>
      </c>
      <c r="G24" s="93">
        <v>4307.3500000000004</v>
      </c>
      <c r="H24" s="20">
        <v>653258</v>
      </c>
      <c r="J24" t="s">
        <v>253</v>
      </c>
      <c r="K24" t="str">
        <v>Oct 24 2022</v>
      </c>
      <c r="L24" t="s">
        <v>359</v>
      </c>
      <c r="M24" s="96" t="s">
        <v>458</v>
      </c>
    </row>
    <row r="25" spans="2:13">
      <c r="B25" t="s">
        <v>254</v>
      </c>
      <c r="C25" s="93">
        <v>4283.95</v>
      </c>
      <c r="D25" s="93">
        <v>4307.95</v>
      </c>
      <c r="E25" s="93">
        <v>4110</v>
      </c>
      <c r="F25" s="93">
        <v>4215.55</v>
      </c>
      <c r="G25" s="93">
        <v>4215.55</v>
      </c>
      <c r="H25" s="20">
        <v>2040742</v>
      </c>
      <c r="J25" t="s">
        <v>254</v>
      </c>
      <c r="K25" t="str">
        <v>Oct 17 2022</v>
      </c>
      <c r="L25" t="s">
        <v>360</v>
      </c>
      <c r="M25" s="96" t="s">
        <v>459</v>
      </c>
    </row>
    <row r="26" spans="2:13">
      <c r="B26" t="s">
        <v>255</v>
      </c>
      <c r="C26" s="93">
        <v>4440.1000000000004</v>
      </c>
      <c r="D26" s="93">
        <v>4495</v>
      </c>
      <c r="E26" s="93">
        <v>4291.1499999999996</v>
      </c>
      <c r="F26" s="93">
        <v>4306.1499999999996</v>
      </c>
      <c r="G26" s="93">
        <v>4306.1499999999996</v>
      </c>
      <c r="H26" s="20">
        <v>1018504</v>
      </c>
      <c r="J26" t="s">
        <v>255</v>
      </c>
      <c r="K26" t="str">
        <v>Oct 10 2022</v>
      </c>
      <c r="L26" t="s">
        <v>361</v>
      </c>
      <c r="M26" s="96">
        <v>44844</v>
      </c>
    </row>
    <row r="27" spans="2:13">
      <c r="B27" t="s">
        <v>256</v>
      </c>
      <c r="C27" s="93">
        <v>4399</v>
      </c>
      <c r="D27" s="93">
        <v>4600</v>
      </c>
      <c r="E27" s="93">
        <v>4389.8</v>
      </c>
      <c r="F27" s="93">
        <v>4471.45</v>
      </c>
      <c r="G27" s="93">
        <v>4471.45</v>
      </c>
      <c r="H27" s="20">
        <v>1441413</v>
      </c>
      <c r="J27" t="s">
        <v>256</v>
      </c>
      <c r="K27" t="str">
        <v>Oct 3 2022</v>
      </c>
      <c r="L27" t="s">
        <v>362</v>
      </c>
      <c r="M27" s="96">
        <v>44630</v>
      </c>
    </row>
    <row r="28" spans="2:13">
      <c r="B28" t="s">
        <v>257</v>
      </c>
      <c r="C28" s="93">
        <v>4323</v>
      </c>
      <c r="D28" s="93">
        <v>4448</v>
      </c>
      <c r="E28" s="93">
        <v>4220.1000000000004</v>
      </c>
      <c r="F28" s="93">
        <v>4386.55</v>
      </c>
      <c r="G28" s="93">
        <v>4386.55</v>
      </c>
      <c r="H28" s="20">
        <v>1863861</v>
      </c>
      <c r="J28" t="s">
        <v>257</v>
      </c>
      <c r="K28" t="str">
        <v>Sep 26 2022</v>
      </c>
      <c r="L28" t="s">
        <v>363</v>
      </c>
      <c r="M28" s="96" t="s">
        <v>460</v>
      </c>
    </row>
    <row r="29" spans="2:13">
      <c r="B29" t="s">
        <v>258</v>
      </c>
      <c r="C29" s="93">
        <v>4340</v>
      </c>
      <c r="D29" s="93">
        <v>4469.8999999999996</v>
      </c>
      <c r="E29" s="93">
        <v>4257</v>
      </c>
      <c r="F29" s="93">
        <v>4367</v>
      </c>
      <c r="G29" s="93">
        <v>4367</v>
      </c>
      <c r="H29" s="20">
        <v>1370121</v>
      </c>
      <c r="J29" t="s">
        <v>258</v>
      </c>
      <c r="K29" t="str">
        <v>Sep 19 2022</v>
      </c>
      <c r="L29" t="s">
        <v>364</v>
      </c>
      <c r="M29" s="96" t="s">
        <v>461</v>
      </c>
    </row>
    <row r="30" spans="2:13">
      <c r="B30" t="s">
        <v>259</v>
      </c>
      <c r="C30" s="93">
        <v>4440</v>
      </c>
      <c r="D30" s="93">
        <v>4550</v>
      </c>
      <c r="E30" s="93">
        <v>4285.3999999999996</v>
      </c>
      <c r="F30" s="93">
        <v>4327.55</v>
      </c>
      <c r="G30" s="93">
        <v>4327.55</v>
      </c>
      <c r="H30" s="20">
        <v>1619814</v>
      </c>
      <c r="J30" t="s">
        <v>259</v>
      </c>
      <c r="K30" t="str">
        <v>Sep 12 2022</v>
      </c>
      <c r="L30" t="s">
        <v>365</v>
      </c>
      <c r="M30" s="96">
        <v>44904</v>
      </c>
    </row>
    <row r="31" spans="2:13">
      <c r="B31" t="s">
        <v>260</v>
      </c>
      <c r="C31" s="93">
        <v>4584.8</v>
      </c>
      <c r="D31" s="93">
        <v>4606.1499999999996</v>
      </c>
      <c r="E31" s="93">
        <v>4370</v>
      </c>
      <c r="F31" s="93">
        <v>4386.1000000000004</v>
      </c>
      <c r="G31" s="93">
        <v>4386.1000000000004</v>
      </c>
      <c r="H31" s="20">
        <v>1223361</v>
      </c>
      <c r="J31" t="s">
        <v>260</v>
      </c>
      <c r="K31" t="str">
        <v>Sep 5 2022</v>
      </c>
      <c r="L31" t="s">
        <v>366</v>
      </c>
      <c r="M31" s="96">
        <v>44690</v>
      </c>
    </row>
    <row r="32" spans="2:13">
      <c r="B32" t="s">
        <v>261</v>
      </c>
      <c r="C32" s="93">
        <v>4270</v>
      </c>
      <c r="D32" s="93">
        <v>4609</v>
      </c>
      <c r="E32" s="93">
        <v>4270</v>
      </c>
      <c r="F32" s="93">
        <v>4576.8</v>
      </c>
      <c r="G32" s="93">
        <v>4576.8</v>
      </c>
      <c r="H32" s="20">
        <v>1479262</v>
      </c>
      <c r="J32" t="s">
        <v>261</v>
      </c>
      <c r="K32" t="str">
        <v>Aug 29 2022</v>
      </c>
      <c r="L32" t="s">
        <v>367</v>
      </c>
      <c r="M32" s="96" t="s">
        <v>462</v>
      </c>
    </row>
    <row r="33" spans="2:13">
      <c r="B33" t="s">
        <v>262</v>
      </c>
      <c r="C33" s="93">
        <v>4371</v>
      </c>
      <c r="D33" s="93">
        <v>4414.5</v>
      </c>
      <c r="E33" s="93">
        <v>4170.55</v>
      </c>
      <c r="F33" s="93">
        <v>4409.6499999999996</v>
      </c>
      <c r="G33" s="93">
        <v>4409.6499999999996</v>
      </c>
      <c r="H33" s="20">
        <v>1337093</v>
      </c>
      <c r="J33" t="s">
        <v>262</v>
      </c>
      <c r="K33" t="str">
        <v>Aug 22 2022</v>
      </c>
      <c r="L33" t="s">
        <v>368</v>
      </c>
      <c r="M33" s="96" t="s">
        <v>463</v>
      </c>
    </row>
    <row r="34" spans="2:13">
      <c r="B34" t="s">
        <v>263</v>
      </c>
      <c r="C34" s="93">
        <v>4336.7</v>
      </c>
      <c r="D34" s="93">
        <v>4523.5</v>
      </c>
      <c r="E34" s="93">
        <v>4336.7</v>
      </c>
      <c r="F34" s="93">
        <v>4382</v>
      </c>
      <c r="G34" s="93">
        <v>4382</v>
      </c>
      <c r="H34" s="20">
        <v>1513553</v>
      </c>
      <c r="J34" t="s">
        <v>263</v>
      </c>
      <c r="K34" t="str">
        <v>Aug 15 2022</v>
      </c>
      <c r="L34" t="s">
        <v>369</v>
      </c>
      <c r="M34" s="96" t="s">
        <v>464</v>
      </c>
    </row>
    <row r="35" spans="2:13">
      <c r="B35" t="s">
        <v>264</v>
      </c>
      <c r="C35" s="93">
        <v>4237.3999999999996</v>
      </c>
      <c r="D35" s="93">
        <v>4387</v>
      </c>
      <c r="E35" s="93">
        <v>4219.8500000000004</v>
      </c>
      <c r="F35" s="93">
        <v>4336.7</v>
      </c>
      <c r="G35" s="93">
        <v>4336.7</v>
      </c>
      <c r="H35" s="20">
        <v>1132650</v>
      </c>
      <c r="J35" t="s">
        <v>264</v>
      </c>
      <c r="K35" t="str">
        <v>Aug 8 2022</v>
      </c>
      <c r="L35" t="s">
        <v>370</v>
      </c>
      <c r="M35" s="96">
        <v>44781</v>
      </c>
    </row>
    <row r="36" spans="2:13">
      <c r="B36" t="s">
        <v>265</v>
      </c>
      <c r="C36" s="93">
        <v>4251.95</v>
      </c>
      <c r="D36" s="93">
        <v>4317</v>
      </c>
      <c r="E36" s="93">
        <v>4175</v>
      </c>
      <c r="F36" s="93">
        <v>4232.25</v>
      </c>
      <c r="G36" s="93">
        <v>4232.25</v>
      </c>
      <c r="H36" s="20">
        <v>2122154</v>
      </c>
      <c r="J36" t="s">
        <v>265</v>
      </c>
      <c r="K36" t="str">
        <v>Aug 1 2022</v>
      </c>
      <c r="L36" t="s">
        <v>371</v>
      </c>
      <c r="M36" s="96">
        <v>44569</v>
      </c>
    </row>
    <row r="37" spans="2:13">
      <c r="B37" t="s">
        <v>266</v>
      </c>
      <c r="C37" s="93">
        <v>3973</v>
      </c>
      <c r="D37" s="93">
        <v>4250</v>
      </c>
      <c r="E37" s="93">
        <v>3909</v>
      </c>
      <c r="F37" s="93">
        <v>4243.8500000000004</v>
      </c>
      <c r="G37" s="93">
        <v>4243.8500000000004</v>
      </c>
      <c r="H37" s="20">
        <v>2361440</v>
      </c>
      <c r="J37" t="s">
        <v>266</v>
      </c>
      <c r="K37" t="str">
        <v>Jul 25 2022</v>
      </c>
      <c r="L37" t="s">
        <v>372</v>
      </c>
      <c r="M37" s="96" t="s">
        <v>465</v>
      </c>
    </row>
    <row r="38" spans="2:13">
      <c r="B38" t="s">
        <v>267</v>
      </c>
      <c r="C38" s="93">
        <v>3951</v>
      </c>
      <c r="D38" s="93">
        <v>4077.9</v>
      </c>
      <c r="E38" s="93">
        <v>3902</v>
      </c>
      <c r="F38" s="93">
        <v>3963.4</v>
      </c>
      <c r="G38" s="93">
        <v>3963.4</v>
      </c>
      <c r="H38" s="20">
        <v>1753938</v>
      </c>
      <c r="J38" t="s">
        <v>267</v>
      </c>
      <c r="K38" t="str">
        <v>Jul 18 2022</v>
      </c>
      <c r="L38" t="s">
        <v>373</v>
      </c>
      <c r="M38" s="96" t="s">
        <v>466</v>
      </c>
    </row>
    <row r="39" spans="2:13">
      <c r="B39" t="s">
        <v>268</v>
      </c>
      <c r="C39" s="93">
        <v>4000</v>
      </c>
      <c r="D39" s="93">
        <v>4087.85</v>
      </c>
      <c r="E39" s="93">
        <v>3855</v>
      </c>
      <c r="F39" s="93">
        <v>3926.8</v>
      </c>
      <c r="G39" s="93">
        <v>3926.8</v>
      </c>
      <c r="H39" s="20">
        <v>3891634</v>
      </c>
      <c r="J39" t="s">
        <v>268</v>
      </c>
      <c r="K39" t="str">
        <v>Jul 11 2022</v>
      </c>
      <c r="L39" t="s">
        <v>374</v>
      </c>
      <c r="M39" s="96">
        <v>44872</v>
      </c>
    </row>
    <row r="40" spans="2:13">
      <c r="B40" t="s">
        <v>269</v>
      </c>
      <c r="C40" s="93">
        <v>3530</v>
      </c>
      <c r="D40" s="93">
        <v>3974</v>
      </c>
      <c r="E40" s="93">
        <v>3460</v>
      </c>
      <c r="F40" s="93">
        <v>3941.7</v>
      </c>
      <c r="G40" s="93">
        <v>3941.7</v>
      </c>
      <c r="H40" s="20">
        <v>3409700</v>
      </c>
      <c r="J40" t="s">
        <v>269</v>
      </c>
      <c r="K40" t="str">
        <v>Jul 4 2022</v>
      </c>
      <c r="L40" t="s">
        <v>375</v>
      </c>
      <c r="M40" s="96">
        <v>44658</v>
      </c>
    </row>
    <row r="41" spans="2:13">
      <c r="B41" t="s">
        <v>270</v>
      </c>
      <c r="C41" s="93">
        <v>3460</v>
      </c>
      <c r="D41" s="93">
        <v>3527</v>
      </c>
      <c r="E41" s="93">
        <v>3331.1</v>
      </c>
      <c r="F41" s="93">
        <v>3388.75</v>
      </c>
      <c r="G41" s="93">
        <v>3388.75</v>
      </c>
      <c r="H41" s="20">
        <v>1818989</v>
      </c>
      <c r="J41" t="s">
        <v>270</v>
      </c>
      <c r="K41" t="str">
        <v>Jun 27 2022</v>
      </c>
      <c r="L41" t="s">
        <v>376</v>
      </c>
      <c r="M41" s="96" t="s">
        <v>467</v>
      </c>
    </row>
    <row r="42" spans="2:13">
      <c r="B42" t="s">
        <v>271</v>
      </c>
      <c r="C42" s="93">
        <v>3493.45</v>
      </c>
      <c r="D42" s="93">
        <v>3545</v>
      </c>
      <c r="E42" s="93">
        <v>3390.1</v>
      </c>
      <c r="F42" s="93">
        <v>3412</v>
      </c>
      <c r="G42" s="93">
        <v>3412</v>
      </c>
      <c r="H42" s="20">
        <v>1570663</v>
      </c>
      <c r="J42" t="s">
        <v>271</v>
      </c>
      <c r="K42" t="str">
        <v>Jun 20 2022</v>
      </c>
      <c r="L42" t="s">
        <v>377</v>
      </c>
      <c r="M42" s="96" t="s">
        <v>468</v>
      </c>
    </row>
    <row r="43" spans="2:13">
      <c r="B43" t="s">
        <v>272</v>
      </c>
      <c r="C43" s="93">
        <v>3700</v>
      </c>
      <c r="D43" s="93">
        <v>3743.95</v>
      </c>
      <c r="E43" s="93">
        <v>3413.7</v>
      </c>
      <c r="F43" s="93">
        <v>3460.55</v>
      </c>
      <c r="G43" s="93">
        <v>3460.55</v>
      </c>
      <c r="H43" s="20">
        <v>2465077</v>
      </c>
      <c r="J43" t="s">
        <v>272</v>
      </c>
      <c r="K43" t="str">
        <v>Jun 13 2022</v>
      </c>
      <c r="L43" t="s">
        <v>378</v>
      </c>
      <c r="M43" s="96" t="s">
        <v>469</v>
      </c>
    </row>
    <row r="44" spans="2:13">
      <c r="B44" t="s">
        <v>273</v>
      </c>
      <c r="C44" s="93">
        <v>3800</v>
      </c>
      <c r="D44" s="93">
        <v>3850</v>
      </c>
      <c r="E44" s="93">
        <v>3652.05</v>
      </c>
      <c r="F44" s="93">
        <v>3755.65</v>
      </c>
      <c r="G44" s="93">
        <v>3755.65</v>
      </c>
      <c r="H44" s="20">
        <v>1528592</v>
      </c>
      <c r="J44" t="s">
        <v>273</v>
      </c>
      <c r="K44" t="str">
        <v>Jun 6 2022</v>
      </c>
      <c r="L44" t="s">
        <v>379</v>
      </c>
      <c r="M44" s="96">
        <v>44718</v>
      </c>
    </row>
    <row r="45" spans="2:13">
      <c r="B45" t="s">
        <v>274</v>
      </c>
      <c r="C45" s="93">
        <v>3660</v>
      </c>
      <c r="D45" s="93">
        <v>4049</v>
      </c>
      <c r="E45" s="93">
        <v>3645</v>
      </c>
      <c r="F45" s="93">
        <v>3820.1</v>
      </c>
      <c r="G45" s="93">
        <v>3820.1</v>
      </c>
      <c r="H45" s="20">
        <v>3037836</v>
      </c>
      <c r="J45" t="s">
        <v>274</v>
      </c>
      <c r="K45" t="str">
        <v>May 30 2022</v>
      </c>
      <c r="L45" t="s">
        <v>380</v>
      </c>
      <c r="M45" s="96" t="s">
        <v>470</v>
      </c>
    </row>
    <row r="46" spans="2:13">
      <c r="B46" t="s">
        <v>275</v>
      </c>
      <c r="C46" s="93">
        <v>3650</v>
      </c>
      <c r="D46" s="93">
        <v>3694.5</v>
      </c>
      <c r="E46" s="93">
        <v>3465.3</v>
      </c>
      <c r="F46" s="93">
        <v>3613.85</v>
      </c>
      <c r="G46" s="93">
        <v>3613.85</v>
      </c>
      <c r="H46" s="20">
        <v>1352752</v>
      </c>
      <c r="J46" t="s">
        <v>275</v>
      </c>
      <c r="K46" t="str">
        <v>May 23 2022</v>
      </c>
      <c r="L46" t="s">
        <v>381</v>
      </c>
      <c r="M46" s="96" t="s">
        <v>471</v>
      </c>
    </row>
    <row r="47" spans="2:13">
      <c r="B47" t="s">
        <v>276</v>
      </c>
      <c r="C47" s="93">
        <v>3260</v>
      </c>
      <c r="D47" s="93">
        <v>3781</v>
      </c>
      <c r="E47" s="93">
        <v>3186</v>
      </c>
      <c r="F47" s="93">
        <v>3630.4</v>
      </c>
      <c r="G47" s="93">
        <v>3630.4</v>
      </c>
      <c r="H47" s="20">
        <v>4283834</v>
      </c>
      <c r="J47" t="s">
        <v>276</v>
      </c>
      <c r="K47" t="str">
        <v>May 16 2022</v>
      </c>
      <c r="L47" t="s">
        <v>382</v>
      </c>
      <c r="M47" s="96" t="s">
        <v>472</v>
      </c>
    </row>
    <row r="48" spans="2:13">
      <c r="B48" t="s">
        <v>277</v>
      </c>
      <c r="C48" s="93">
        <v>3655</v>
      </c>
      <c r="D48" s="93">
        <v>3655</v>
      </c>
      <c r="E48" s="93">
        <v>3205</v>
      </c>
      <c r="F48" s="93">
        <v>3230.6</v>
      </c>
      <c r="G48" s="93">
        <v>3230.6</v>
      </c>
      <c r="H48" s="20">
        <v>3391313</v>
      </c>
      <c r="J48" t="s">
        <v>277</v>
      </c>
      <c r="K48" t="str">
        <v>May 9 2022</v>
      </c>
      <c r="L48" t="s">
        <v>383</v>
      </c>
      <c r="M48" s="96">
        <v>44809</v>
      </c>
    </row>
    <row r="49" spans="2:13">
      <c r="B49" t="s">
        <v>278</v>
      </c>
      <c r="C49" s="93">
        <v>3939.6</v>
      </c>
      <c r="D49" s="93">
        <v>4023.95</v>
      </c>
      <c r="E49" s="93">
        <v>3602.15</v>
      </c>
      <c r="F49" s="93">
        <v>3666.2</v>
      </c>
      <c r="G49" s="93">
        <v>3666.2</v>
      </c>
      <c r="H49" s="20">
        <v>1852788</v>
      </c>
      <c r="J49" t="s">
        <v>278</v>
      </c>
      <c r="K49" t="str">
        <v>May 2 2022</v>
      </c>
      <c r="L49" t="s">
        <v>384</v>
      </c>
      <c r="M49" s="96">
        <v>44597</v>
      </c>
    </row>
    <row r="50" spans="2:13">
      <c r="B50" t="s">
        <v>279</v>
      </c>
      <c r="C50" s="93">
        <v>4000</v>
      </c>
      <c r="D50" s="93">
        <v>4085</v>
      </c>
      <c r="E50" s="93">
        <v>3906</v>
      </c>
      <c r="F50" s="93">
        <v>3944.25</v>
      </c>
      <c r="G50" s="93">
        <v>3944.25</v>
      </c>
      <c r="H50" s="20">
        <v>1059145</v>
      </c>
      <c r="J50" t="s">
        <v>279</v>
      </c>
      <c r="K50" t="str">
        <v>Apr 25 2022</v>
      </c>
      <c r="L50" t="s">
        <v>385</v>
      </c>
      <c r="M50" s="96" t="s">
        <v>473</v>
      </c>
    </row>
    <row r="51" spans="2:13">
      <c r="B51" t="s">
        <v>280</v>
      </c>
      <c r="C51" s="93">
        <v>4065</v>
      </c>
      <c r="D51" s="93">
        <v>4131.8999999999996</v>
      </c>
      <c r="E51" s="93">
        <v>3975</v>
      </c>
      <c r="F51" s="93">
        <v>4028.85</v>
      </c>
      <c r="G51" s="93">
        <v>4028.85</v>
      </c>
      <c r="H51" s="20">
        <v>1058752</v>
      </c>
      <c r="J51" t="s">
        <v>280</v>
      </c>
      <c r="K51" t="str">
        <v>Apr 18 2022</v>
      </c>
      <c r="L51" t="s">
        <v>386</v>
      </c>
      <c r="M51" s="96" t="s">
        <v>474</v>
      </c>
    </row>
    <row r="52" spans="2:13">
      <c r="B52" t="s">
        <v>281</v>
      </c>
      <c r="C52" s="93">
        <v>4136.8</v>
      </c>
      <c r="D52" s="93">
        <v>4200</v>
      </c>
      <c r="E52" s="93">
        <v>4075</v>
      </c>
      <c r="F52" s="93">
        <v>4090.9</v>
      </c>
      <c r="G52" s="93">
        <v>4090.9</v>
      </c>
      <c r="H52" s="20">
        <v>589008</v>
      </c>
      <c r="J52" t="s">
        <v>281</v>
      </c>
      <c r="K52" t="str">
        <v>Apr 11 2022</v>
      </c>
      <c r="L52" t="s">
        <v>387</v>
      </c>
      <c r="M52" s="96">
        <v>44869</v>
      </c>
    </row>
    <row r="53" spans="2:13">
      <c r="B53" t="s">
        <v>282</v>
      </c>
      <c r="C53" s="93">
        <v>4120</v>
      </c>
      <c r="D53" s="93">
        <v>4244</v>
      </c>
      <c r="E53" s="93">
        <v>4076.15</v>
      </c>
      <c r="F53" s="93">
        <v>4146.25</v>
      </c>
      <c r="G53" s="93">
        <v>4146.25</v>
      </c>
      <c r="H53" s="20">
        <v>2271831</v>
      </c>
      <c r="J53" t="s">
        <v>282</v>
      </c>
      <c r="K53" t="str">
        <v>Apr 4 2022</v>
      </c>
      <c r="L53" t="s">
        <v>388</v>
      </c>
      <c r="M53" s="96">
        <v>44655</v>
      </c>
    </row>
    <row r="54" spans="2:13">
      <c r="B54" t="s">
        <v>283</v>
      </c>
      <c r="C54" s="93">
        <v>4005.15</v>
      </c>
      <c r="D54" s="93">
        <v>4093</v>
      </c>
      <c r="E54" s="93">
        <v>3945</v>
      </c>
      <c r="F54" s="93">
        <v>4082.2</v>
      </c>
      <c r="G54" s="93">
        <v>4082.2</v>
      </c>
      <c r="H54" s="20">
        <v>2315406</v>
      </c>
      <c r="J54" t="s">
        <v>283</v>
      </c>
      <c r="K54" t="str">
        <v>Mar 28 2022</v>
      </c>
      <c r="L54" t="s">
        <v>389</v>
      </c>
      <c r="M54" s="96" t="s">
        <v>475</v>
      </c>
    </row>
    <row r="55" spans="2:13">
      <c r="B55" t="s">
        <v>284</v>
      </c>
      <c r="C55" s="93">
        <v>4217</v>
      </c>
      <c r="D55" s="93">
        <v>4217</v>
      </c>
      <c r="E55" s="93">
        <v>3995</v>
      </c>
      <c r="F55" s="93">
        <v>4001.3</v>
      </c>
      <c r="G55" s="93">
        <v>4001.3</v>
      </c>
      <c r="H55" s="20">
        <v>1868309</v>
      </c>
      <c r="J55" t="s">
        <v>284</v>
      </c>
      <c r="K55" t="str">
        <v>Mar 21 2022</v>
      </c>
      <c r="L55" t="s">
        <v>390</v>
      </c>
      <c r="M55" s="96" t="s">
        <v>476</v>
      </c>
    </row>
    <row r="56" spans="2:13">
      <c r="B56" t="s">
        <v>285</v>
      </c>
      <c r="C56" s="93">
        <v>4190</v>
      </c>
      <c r="D56" s="93">
        <v>4251</v>
      </c>
      <c r="E56" s="93">
        <v>4150</v>
      </c>
      <c r="F56" s="93">
        <v>4192.75</v>
      </c>
      <c r="G56" s="93">
        <v>4192.75</v>
      </c>
      <c r="H56" s="20">
        <v>1944524</v>
      </c>
      <c r="J56" t="s">
        <v>285</v>
      </c>
      <c r="K56" t="str">
        <v>Mar 14 2022</v>
      </c>
      <c r="L56" t="s">
        <v>391</v>
      </c>
      <c r="M56" s="96" t="s">
        <v>477</v>
      </c>
    </row>
    <row r="57" spans="2:13">
      <c r="B57" t="s">
        <v>286</v>
      </c>
      <c r="C57" s="93">
        <v>4001</v>
      </c>
      <c r="D57" s="93">
        <v>4239.8999999999996</v>
      </c>
      <c r="E57" s="93">
        <v>3970.8</v>
      </c>
      <c r="F57" s="93">
        <v>4198.95</v>
      </c>
      <c r="G57" s="93">
        <v>4198.95</v>
      </c>
      <c r="H57" s="20">
        <v>2630020</v>
      </c>
      <c r="J57" t="s">
        <v>286</v>
      </c>
      <c r="K57" t="str">
        <v>Mar 7 2022</v>
      </c>
      <c r="L57" t="s">
        <v>392</v>
      </c>
      <c r="M57" s="96">
        <v>44745</v>
      </c>
    </row>
    <row r="58" spans="2:13">
      <c r="B58" t="s">
        <v>287</v>
      </c>
      <c r="C58" s="93">
        <v>4155</v>
      </c>
      <c r="D58" s="93">
        <v>4446.95</v>
      </c>
      <c r="E58" s="93">
        <v>4062.1</v>
      </c>
      <c r="F58" s="93">
        <v>4110.2</v>
      </c>
      <c r="G58" s="93">
        <v>4110.2</v>
      </c>
      <c r="H58" s="20">
        <v>1868192</v>
      </c>
      <c r="J58" t="s">
        <v>287</v>
      </c>
      <c r="K58" t="str">
        <v>Feb 28 2022</v>
      </c>
      <c r="L58" t="s">
        <v>393</v>
      </c>
      <c r="M58" s="96" t="s">
        <v>478</v>
      </c>
    </row>
    <row r="59" spans="2:13">
      <c r="B59" t="s">
        <v>288</v>
      </c>
      <c r="C59" s="93">
        <v>4048</v>
      </c>
      <c r="D59" s="93">
        <v>4217.7</v>
      </c>
      <c r="E59" s="93">
        <v>3947.85</v>
      </c>
      <c r="F59" s="93">
        <v>4190.75</v>
      </c>
      <c r="G59" s="93">
        <v>4190.75</v>
      </c>
      <c r="H59" s="20">
        <v>2303290</v>
      </c>
      <c r="J59" t="s">
        <v>288</v>
      </c>
      <c r="K59" t="str">
        <v>Feb 21 2022</v>
      </c>
      <c r="L59" t="s">
        <v>394</v>
      </c>
      <c r="M59" s="96" t="s">
        <v>479</v>
      </c>
    </row>
    <row r="60" spans="2:13">
      <c r="B60" t="s">
        <v>289</v>
      </c>
      <c r="C60" s="93">
        <v>4015</v>
      </c>
      <c r="D60" s="93">
        <v>4155</v>
      </c>
      <c r="E60" s="93">
        <v>3958.05</v>
      </c>
      <c r="F60" s="93">
        <v>4073.1</v>
      </c>
      <c r="G60" s="93">
        <v>4073.1</v>
      </c>
      <c r="H60" s="20">
        <v>1683304</v>
      </c>
      <c r="J60" t="s">
        <v>289</v>
      </c>
      <c r="K60" t="str">
        <v>Feb 14 2022</v>
      </c>
      <c r="L60" t="s">
        <v>395</v>
      </c>
      <c r="M60" s="96" t="s">
        <v>480</v>
      </c>
    </row>
    <row r="61" spans="2:13">
      <c r="B61" t="s">
        <v>290</v>
      </c>
      <c r="C61" s="93">
        <v>4090</v>
      </c>
      <c r="D61" s="93">
        <v>4182</v>
      </c>
      <c r="E61" s="93">
        <v>3983</v>
      </c>
      <c r="F61" s="93">
        <v>4142.25</v>
      </c>
      <c r="G61" s="93">
        <v>4142.25</v>
      </c>
      <c r="H61" s="20">
        <v>2161463</v>
      </c>
      <c r="J61" t="s">
        <v>290</v>
      </c>
      <c r="K61" t="str">
        <v>Feb 7 2022</v>
      </c>
      <c r="L61" t="s">
        <v>396</v>
      </c>
      <c r="M61" s="96">
        <v>44744</v>
      </c>
    </row>
    <row r="62" spans="2:13">
      <c r="B62" t="s">
        <v>291</v>
      </c>
      <c r="C62" s="93">
        <v>4140</v>
      </c>
      <c r="D62" s="93">
        <v>4278</v>
      </c>
      <c r="E62" s="93">
        <v>4075</v>
      </c>
      <c r="F62" s="93">
        <v>4081.9</v>
      </c>
      <c r="G62" s="93">
        <v>4081.9</v>
      </c>
      <c r="H62" s="20">
        <v>1686734</v>
      </c>
      <c r="J62" t="s">
        <v>291</v>
      </c>
      <c r="K62" t="str">
        <v>Jan 31 2022</v>
      </c>
      <c r="L62" t="s">
        <v>397</v>
      </c>
      <c r="M62" s="96" t="s">
        <v>481</v>
      </c>
    </row>
    <row r="63" spans="2:13">
      <c r="B63" t="s">
        <v>292</v>
      </c>
      <c r="C63" s="93">
        <v>4300</v>
      </c>
      <c r="D63" s="93">
        <v>4316.8999999999996</v>
      </c>
      <c r="E63" s="93">
        <v>3881.25</v>
      </c>
      <c r="F63" s="93">
        <v>4076</v>
      </c>
      <c r="G63" s="93">
        <v>4076</v>
      </c>
      <c r="H63" s="20">
        <v>3195628</v>
      </c>
      <c r="J63" t="s">
        <v>292</v>
      </c>
      <c r="K63" t="str">
        <v>Jan 24 2022</v>
      </c>
      <c r="L63" t="s">
        <v>398</v>
      </c>
      <c r="M63" s="96" t="s">
        <v>482</v>
      </c>
    </row>
    <row r="64" spans="2:13">
      <c r="B64" t="s">
        <v>293</v>
      </c>
      <c r="C64" s="93">
        <v>4365</v>
      </c>
      <c r="D64" s="93">
        <v>4517</v>
      </c>
      <c r="E64" s="93">
        <v>4281</v>
      </c>
      <c r="F64" s="93">
        <v>4299.8</v>
      </c>
      <c r="G64" s="93">
        <v>4299.8</v>
      </c>
      <c r="H64" s="20">
        <v>3347823</v>
      </c>
      <c r="J64" t="s">
        <v>293</v>
      </c>
      <c r="K64" t="str">
        <v>Jan 17 2022</v>
      </c>
      <c r="L64" t="s">
        <v>399</v>
      </c>
      <c r="M64" s="96" t="s">
        <v>483</v>
      </c>
    </row>
    <row r="65" spans="2:13">
      <c r="B65" t="s">
        <v>294</v>
      </c>
      <c r="C65" s="93">
        <v>4784.8999999999996</v>
      </c>
      <c r="D65" s="93">
        <v>4784.8999999999996</v>
      </c>
      <c r="E65" s="93">
        <v>4165.3</v>
      </c>
      <c r="F65" s="93">
        <v>4322.7</v>
      </c>
      <c r="G65" s="93">
        <v>4322.7</v>
      </c>
      <c r="H65" s="20">
        <v>6337017</v>
      </c>
      <c r="J65" t="s">
        <v>294</v>
      </c>
      <c r="K65" t="str">
        <v>Jan 10 2022</v>
      </c>
      <c r="L65" t="s">
        <v>400</v>
      </c>
      <c r="M65" s="96">
        <v>44835</v>
      </c>
    </row>
    <row r="66" spans="2:13">
      <c r="B66" t="s">
        <v>295</v>
      </c>
      <c r="C66" s="93">
        <v>4770</v>
      </c>
      <c r="D66" s="93">
        <v>4799</v>
      </c>
      <c r="E66" s="93">
        <v>4642.6499999999996</v>
      </c>
      <c r="F66" s="93">
        <v>4731.3500000000004</v>
      </c>
      <c r="G66" s="93">
        <v>4731.3500000000004</v>
      </c>
      <c r="H66" s="20">
        <v>1727641</v>
      </c>
      <c r="J66" t="s">
        <v>295</v>
      </c>
      <c r="K66" t="str">
        <v>Jan 3 2022</v>
      </c>
      <c r="L66" t="s">
        <v>401</v>
      </c>
      <c r="M66" s="96">
        <v>44621</v>
      </c>
    </row>
    <row r="67" spans="2:13">
      <c r="B67" t="s">
        <v>296</v>
      </c>
      <c r="C67" s="93">
        <v>4599</v>
      </c>
      <c r="D67" s="93">
        <v>4760.95</v>
      </c>
      <c r="E67" s="93">
        <v>4555.25</v>
      </c>
      <c r="F67" s="93">
        <v>4671.45</v>
      </c>
      <c r="G67" s="93">
        <v>4671.45</v>
      </c>
      <c r="H67" s="20">
        <v>1160590</v>
      </c>
      <c r="J67" t="s">
        <v>296</v>
      </c>
      <c r="K67" t="str">
        <v>Dec 27 2021</v>
      </c>
      <c r="L67" t="s">
        <v>402</v>
      </c>
      <c r="M67" s="96" t="s">
        <v>484</v>
      </c>
    </row>
    <row r="68" spans="2:13">
      <c r="B68" t="s">
        <v>297</v>
      </c>
      <c r="C68" s="93">
        <v>4669</v>
      </c>
      <c r="D68" s="93">
        <v>4711.25</v>
      </c>
      <c r="E68" s="93">
        <v>4552.25</v>
      </c>
      <c r="F68" s="93">
        <v>4628.8999999999996</v>
      </c>
      <c r="G68" s="93">
        <v>4628.8999999999996</v>
      </c>
      <c r="H68" s="20">
        <v>1287646</v>
      </c>
      <c r="J68" t="s">
        <v>297</v>
      </c>
      <c r="K68" t="str">
        <v>Dec 20 2021</v>
      </c>
      <c r="L68" t="s">
        <v>403</v>
      </c>
      <c r="M68" s="96" t="s">
        <v>485</v>
      </c>
    </row>
    <row r="69" spans="2:13">
      <c r="B69" t="s">
        <v>298</v>
      </c>
      <c r="C69" s="93">
        <v>4830</v>
      </c>
      <c r="D69" s="93">
        <v>4870</v>
      </c>
      <c r="E69" s="93">
        <v>4672.1499999999996</v>
      </c>
      <c r="F69" s="93">
        <v>4697.8</v>
      </c>
      <c r="G69" s="93">
        <v>4697.8</v>
      </c>
      <c r="H69" s="20">
        <v>1744197</v>
      </c>
      <c r="J69" t="s">
        <v>298</v>
      </c>
      <c r="K69" t="str">
        <v>Dec 13 2021</v>
      </c>
      <c r="L69" t="s">
        <v>404</v>
      </c>
      <c r="M69" s="96" t="s">
        <v>486</v>
      </c>
    </row>
    <row r="70" spans="2:13">
      <c r="B70" t="s">
        <v>299</v>
      </c>
      <c r="C70" s="93">
        <v>4820</v>
      </c>
      <c r="D70" s="93">
        <v>4878.3999999999996</v>
      </c>
      <c r="E70" s="93">
        <v>4580</v>
      </c>
      <c r="F70" s="93">
        <v>4796.6000000000004</v>
      </c>
      <c r="G70" s="93">
        <v>4796.6000000000004</v>
      </c>
      <c r="H70" s="20">
        <v>2155653</v>
      </c>
      <c r="J70" t="s">
        <v>299</v>
      </c>
      <c r="K70" t="str">
        <v>Dec 6 2021</v>
      </c>
      <c r="L70" t="s">
        <v>405</v>
      </c>
      <c r="M70" s="96">
        <v>44359</v>
      </c>
    </row>
    <row r="71" spans="2:13">
      <c r="B71" t="s">
        <v>300</v>
      </c>
      <c r="C71" s="93">
        <v>4687</v>
      </c>
      <c r="D71" s="93">
        <v>4850</v>
      </c>
      <c r="E71" s="93">
        <v>4455</v>
      </c>
      <c r="F71" s="93">
        <v>4799.05</v>
      </c>
      <c r="G71" s="93">
        <v>4799.05</v>
      </c>
      <c r="H71" s="20">
        <v>2414093</v>
      </c>
      <c r="J71" t="s">
        <v>300</v>
      </c>
      <c r="K71" t="str">
        <v>Nov 29 2021</v>
      </c>
      <c r="L71" t="s">
        <v>406</v>
      </c>
      <c r="M71" s="96" t="s">
        <v>487</v>
      </c>
    </row>
    <row r="72" spans="2:13">
      <c r="B72" t="s">
        <v>301</v>
      </c>
      <c r="C72" s="93">
        <v>5100</v>
      </c>
      <c r="D72" s="93">
        <v>5100</v>
      </c>
      <c r="E72" s="93">
        <v>4700.1000000000004</v>
      </c>
      <c r="F72" s="93">
        <v>4718.75</v>
      </c>
      <c r="G72" s="93">
        <v>4718.75</v>
      </c>
      <c r="H72" s="20">
        <v>2598419</v>
      </c>
      <c r="J72" t="s">
        <v>301</v>
      </c>
      <c r="K72" t="str">
        <v>Nov 22 2021</v>
      </c>
      <c r="L72" t="s">
        <v>407</v>
      </c>
      <c r="M72" s="96" t="s">
        <v>488</v>
      </c>
    </row>
    <row r="73" spans="2:13">
      <c r="B73" t="s">
        <v>302</v>
      </c>
      <c r="C73" s="93">
        <v>5075</v>
      </c>
      <c r="D73" s="93">
        <v>5180</v>
      </c>
      <c r="E73" s="93">
        <v>4980</v>
      </c>
      <c r="F73" s="93">
        <v>5080.8999999999996</v>
      </c>
      <c r="G73" s="93">
        <v>5080.8999999999996</v>
      </c>
      <c r="H73" s="20">
        <v>1739519</v>
      </c>
      <c r="J73" t="s">
        <v>302</v>
      </c>
      <c r="K73" t="str">
        <v>Nov 15 2021</v>
      </c>
      <c r="L73" t="s">
        <v>408</v>
      </c>
      <c r="M73" s="96" t="s">
        <v>489</v>
      </c>
    </row>
    <row r="74" spans="2:13">
      <c r="B74" t="s">
        <v>303</v>
      </c>
      <c r="C74" s="93">
        <v>4783</v>
      </c>
      <c r="D74" s="93">
        <v>5097.6499999999996</v>
      </c>
      <c r="E74" s="93">
        <v>4720</v>
      </c>
      <c r="F74" s="93">
        <v>5078.55</v>
      </c>
      <c r="G74" s="93">
        <v>5078.55</v>
      </c>
      <c r="H74" s="20">
        <v>2871106</v>
      </c>
      <c r="J74" t="s">
        <v>303</v>
      </c>
      <c r="K74" t="str">
        <v>Nov 8 2021</v>
      </c>
      <c r="L74" t="s">
        <v>409</v>
      </c>
      <c r="M74" s="96">
        <v>44419</v>
      </c>
    </row>
    <row r="75" spans="2:13">
      <c r="B75" t="s">
        <v>304</v>
      </c>
      <c r="C75" s="93">
        <v>4670</v>
      </c>
      <c r="D75" s="93">
        <v>4824.8</v>
      </c>
      <c r="E75" s="93">
        <v>4550</v>
      </c>
      <c r="F75" s="93">
        <v>4783.7</v>
      </c>
      <c r="G75" s="93">
        <v>4783.7</v>
      </c>
      <c r="H75" s="20">
        <v>1296219</v>
      </c>
      <c r="J75" t="s">
        <v>304</v>
      </c>
      <c r="K75" t="str">
        <v>Nov 1 2021</v>
      </c>
      <c r="L75" t="s">
        <v>410</v>
      </c>
      <c r="M75" s="96">
        <v>44207</v>
      </c>
    </row>
    <row r="76" spans="2:13">
      <c r="B76" t="s">
        <v>305</v>
      </c>
      <c r="C76" s="93">
        <v>4534.3</v>
      </c>
      <c r="D76" s="93">
        <v>4776.8500000000004</v>
      </c>
      <c r="E76" s="93">
        <v>4351</v>
      </c>
      <c r="F76" s="93">
        <v>4635.45</v>
      </c>
      <c r="G76" s="93">
        <v>4635.45</v>
      </c>
      <c r="H76" s="20">
        <v>2804746</v>
      </c>
      <c r="J76" t="s">
        <v>305</v>
      </c>
      <c r="K76" t="str">
        <v>Oct 25 2021</v>
      </c>
      <c r="L76" t="s">
        <v>411</v>
      </c>
      <c r="M76" s="96" t="s">
        <v>490</v>
      </c>
    </row>
    <row r="77" spans="2:13">
      <c r="B77" t="s">
        <v>306</v>
      </c>
      <c r="C77" s="93">
        <v>5599</v>
      </c>
      <c r="D77" s="93">
        <v>5900</v>
      </c>
      <c r="E77" s="93">
        <v>4470.25</v>
      </c>
      <c r="F77" s="93">
        <v>4521.45</v>
      </c>
      <c r="G77" s="93">
        <v>4521.45</v>
      </c>
      <c r="H77" s="20">
        <v>9998962</v>
      </c>
      <c r="J77" t="s">
        <v>306</v>
      </c>
      <c r="K77" t="str">
        <v>Oct 18 2021</v>
      </c>
      <c r="L77" t="s">
        <v>412</v>
      </c>
      <c r="M77" s="96" t="s">
        <v>491</v>
      </c>
    </row>
    <row r="78" spans="2:13">
      <c r="B78" t="s">
        <v>307</v>
      </c>
      <c r="C78" s="93">
        <v>4438</v>
      </c>
      <c r="D78" s="93">
        <v>5595</v>
      </c>
      <c r="E78" s="93">
        <v>4407</v>
      </c>
      <c r="F78" s="93">
        <v>5323.75</v>
      </c>
      <c r="G78" s="93">
        <v>5323.75</v>
      </c>
      <c r="H78" s="20">
        <v>5615775</v>
      </c>
      <c r="J78" t="s">
        <v>307</v>
      </c>
      <c r="K78" t="str">
        <v>Oct 11 2021</v>
      </c>
      <c r="L78" t="s">
        <v>413</v>
      </c>
      <c r="M78" s="96">
        <v>44510</v>
      </c>
    </row>
    <row r="79" spans="2:13">
      <c r="B79" t="s">
        <v>308</v>
      </c>
      <c r="C79" s="93">
        <v>4393.95</v>
      </c>
      <c r="D79" s="93">
        <v>4464.3500000000004</v>
      </c>
      <c r="E79" s="93">
        <v>4205</v>
      </c>
      <c r="F79" s="93">
        <v>4407.95</v>
      </c>
      <c r="G79" s="93">
        <v>4407.95</v>
      </c>
      <c r="H79" s="20">
        <v>2335300</v>
      </c>
      <c r="J79" t="s">
        <v>308</v>
      </c>
      <c r="K79" t="str">
        <v>Oct 4 2021</v>
      </c>
      <c r="L79" t="s">
        <v>414</v>
      </c>
      <c r="M79" s="96">
        <v>44296</v>
      </c>
    </row>
    <row r="80" spans="2:13">
      <c r="B80" t="s">
        <v>309</v>
      </c>
      <c r="C80" s="93">
        <v>4435</v>
      </c>
      <c r="D80" s="93">
        <v>4448.95</v>
      </c>
      <c r="E80" s="93">
        <v>4202</v>
      </c>
      <c r="F80" s="93">
        <v>4235.6000000000004</v>
      </c>
      <c r="G80" s="93">
        <v>4235.6000000000004</v>
      </c>
      <c r="H80" s="20">
        <v>1782009</v>
      </c>
      <c r="J80" t="s">
        <v>309</v>
      </c>
      <c r="K80" t="str">
        <v>Sep 27 2021</v>
      </c>
      <c r="L80" t="s">
        <v>415</v>
      </c>
      <c r="M80" s="96" t="s">
        <v>492</v>
      </c>
    </row>
    <row r="81" spans="2:13">
      <c r="B81" t="s">
        <v>310</v>
      </c>
      <c r="C81" s="93">
        <v>4208</v>
      </c>
      <c r="D81" s="93">
        <v>4500</v>
      </c>
      <c r="E81" s="93">
        <v>4151</v>
      </c>
      <c r="F81" s="93">
        <v>4422.3500000000004</v>
      </c>
      <c r="G81" s="93">
        <v>4422.3500000000004</v>
      </c>
      <c r="H81" s="20">
        <v>1644056</v>
      </c>
      <c r="J81" t="s">
        <v>310</v>
      </c>
      <c r="K81" t="str">
        <v>Sep 20 2021</v>
      </c>
      <c r="L81" t="s">
        <v>416</v>
      </c>
      <c r="M81" s="96" t="s">
        <v>493</v>
      </c>
    </row>
    <row r="82" spans="2:13">
      <c r="B82" t="s">
        <v>311</v>
      </c>
      <c r="C82" s="93">
        <v>3951</v>
      </c>
      <c r="D82" s="93">
        <v>4294.6499999999996</v>
      </c>
      <c r="E82" s="93">
        <v>3948.1</v>
      </c>
      <c r="F82" s="93">
        <v>4239.6499999999996</v>
      </c>
      <c r="G82" s="93">
        <v>4239.6499999999996</v>
      </c>
      <c r="H82" s="20">
        <v>1943352</v>
      </c>
      <c r="J82" t="s">
        <v>311</v>
      </c>
      <c r="K82" t="str">
        <v>Sep 13 2021</v>
      </c>
      <c r="L82" t="s">
        <v>417</v>
      </c>
      <c r="M82" s="96" t="s">
        <v>494</v>
      </c>
    </row>
    <row r="83" spans="2:13">
      <c r="B83" t="s">
        <v>312</v>
      </c>
      <c r="C83" s="93">
        <v>3959.9</v>
      </c>
      <c r="D83" s="93">
        <v>3977</v>
      </c>
      <c r="E83" s="93">
        <v>3875.1</v>
      </c>
      <c r="F83" s="93">
        <v>3950.5</v>
      </c>
      <c r="G83" s="93">
        <v>3950.5</v>
      </c>
      <c r="H83" s="20">
        <v>1201820</v>
      </c>
      <c r="J83" t="s">
        <v>312</v>
      </c>
      <c r="K83" t="str">
        <v>Sep 6 2021</v>
      </c>
      <c r="L83" t="s">
        <v>418</v>
      </c>
      <c r="M83" s="96">
        <v>44356</v>
      </c>
    </row>
    <row r="84" spans="2:13">
      <c r="B84" t="s">
        <v>313</v>
      </c>
      <c r="C84" s="93">
        <v>3862</v>
      </c>
      <c r="D84" s="93">
        <v>4015</v>
      </c>
      <c r="E84" s="93">
        <v>3835.3</v>
      </c>
      <c r="F84" s="93">
        <v>3938.9</v>
      </c>
      <c r="G84" s="93">
        <v>3938.9</v>
      </c>
      <c r="H84" s="20">
        <v>1365471</v>
      </c>
      <c r="J84" t="s">
        <v>313</v>
      </c>
      <c r="K84" t="str">
        <v>Aug 30 2021</v>
      </c>
      <c r="L84" t="s">
        <v>419</v>
      </c>
      <c r="M84" s="96" t="s">
        <v>495</v>
      </c>
    </row>
    <row r="85" spans="2:13">
      <c r="B85" t="s">
        <v>314</v>
      </c>
      <c r="C85" s="93">
        <v>3663</v>
      </c>
      <c r="D85" s="93">
        <v>3898</v>
      </c>
      <c r="E85" s="93">
        <v>3644</v>
      </c>
      <c r="F85" s="93">
        <v>3833.05</v>
      </c>
      <c r="G85" s="93">
        <v>3833.05</v>
      </c>
      <c r="H85" s="20">
        <v>1721910</v>
      </c>
      <c r="J85" t="s">
        <v>314</v>
      </c>
      <c r="K85" t="str">
        <v>Aug 23 2021</v>
      </c>
      <c r="L85" t="s">
        <v>420</v>
      </c>
      <c r="M85" s="96" t="s">
        <v>496</v>
      </c>
    </row>
    <row r="86" spans="2:13">
      <c r="B86" t="s">
        <v>315</v>
      </c>
      <c r="C86" s="93">
        <v>3594</v>
      </c>
      <c r="D86" s="93">
        <v>3707.15</v>
      </c>
      <c r="E86" s="93">
        <v>3566.3</v>
      </c>
      <c r="F86" s="93">
        <v>3643.1</v>
      </c>
      <c r="G86" s="93">
        <v>3643.1</v>
      </c>
      <c r="H86" s="20">
        <v>762474</v>
      </c>
      <c r="J86" t="s">
        <v>315</v>
      </c>
      <c r="K86" t="str">
        <v>Aug 16 2021</v>
      </c>
      <c r="L86" t="s">
        <v>421</v>
      </c>
      <c r="M86" s="96" t="s">
        <v>497</v>
      </c>
    </row>
    <row r="87" spans="2:13">
      <c r="B87" t="s">
        <v>316</v>
      </c>
      <c r="C87" s="93">
        <v>3549</v>
      </c>
      <c r="D87" s="93">
        <v>3634.45</v>
      </c>
      <c r="E87" s="93">
        <v>3465</v>
      </c>
      <c r="F87" s="93">
        <v>3594.55</v>
      </c>
      <c r="G87" s="93">
        <v>3594.55</v>
      </c>
      <c r="H87" s="20">
        <v>992778</v>
      </c>
      <c r="J87" t="s">
        <v>316</v>
      </c>
      <c r="K87" t="str">
        <v>Aug 9 2021</v>
      </c>
      <c r="L87" t="s">
        <v>422</v>
      </c>
      <c r="M87" s="96">
        <v>44447</v>
      </c>
    </row>
    <row r="88" spans="2:13">
      <c r="B88" t="s">
        <v>317</v>
      </c>
      <c r="C88" s="93">
        <v>3524.8</v>
      </c>
      <c r="D88" s="93">
        <v>3624.45</v>
      </c>
      <c r="E88" s="93">
        <v>3486</v>
      </c>
      <c r="F88" s="93">
        <v>3529.2</v>
      </c>
      <c r="G88" s="93">
        <v>3529.2</v>
      </c>
      <c r="H88" s="20">
        <v>815577</v>
      </c>
      <c r="J88" t="s">
        <v>317</v>
      </c>
      <c r="K88" t="str">
        <v>Aug 2 2021</v>
      </c>
      <c r="L88" t="s">
        <v>423</v>
      </c>
      <c r="M88" s="96">
        <v>44235</v>
      </c>
    </row>
    <row r="89" spans="2:13">
      <c r="B89" t="s">
        <v>318</v>
      </c>
      <c r="C89" s="93">
        <v>3410</v>
      </c>
      <c r="D89" s="93">
        <v>3533.4</v>
      </c>
      <c r="E89" s="93">
        <v>3398.3</v>
      </c>
      <c r="F89" s="93">
        <v>3500.8</v>
      </c>
      <c r="G89" s="93">
        <v>3500.8</v>
      </c>
      <c r="H89" s="20">
        <v>1181197</v>
      </c>
      <c r="J89" t="s">
        <v>318</v>
      </c>
      <c r="K89" t="str">
        <v>Jul 26 2021</v>
      </c>
      <c r="L89" t="s">
        <v>424</v>
      </c>
      <c r="M89" s="96" t="s">
        <v>498</v>
      </c>
    </row>
    <row r="90" spans="2:13">
      <c r="B90" t="s">
        <v>319</v>
      </c>
      <c r="C90" s="93">
        <v>3320</v>
      </c>
      <c r="D90" s="93">
        <v>3449</v>
      </c>
      <c r="E90" s="93">
        <v>3315.15</v>
      </c>
      <c r="F90" s="93">
        <v>3413.2</v>
      </c>
      <c r="G90" s="93">
        <v>3413.2</v>
      </c>
      <c r="H90" s="20">
        <v>1068539</v>
      </c>
      <c r="J90" t="s">
        <v>319</v>
      </c>
      <c r="K90" t="str">
        <v>Jul 19 2021</v>
      </c>
      <c r="L90" t="s">
        <v>425</v>
      </c>
      <c r="M90" s="96" t="s">
        <v>499</v>
      </c>
    </row>
    <row r="91" spans="2:13">
      <c r="B91" t="s">
        <v>320</v>
      </c>
      <c r="C91" s="93">
        <v>3136</v>
      </c>
      <c r="D91" s="93">
        <v>3171.1</v>
      </c>
      <c r="E91" s="93">
        <v>2925</v>
      </c>
      <c r="F91" s="93">
        <v>2960.3</v>
      </c>
      <c r="G91" s="93">
        <v>2960.3</v>
      </c>
      <c r="H91" s="20">
        <v>1692044</v>
      </c>
      <c r="J91" t="s">
        <v>320</v>
      </c>
      <c r="K91" t="str">
        <v>Mar 15 2021</v>
      </c>
      <c r="L91" t="s">
        <v>426</v>
      </c>
      <c r="M91" s="96" t="s">
        <v>500</v>
      </c>
    </row>
    <row r="92" spans="2:13">
      <c r="B92" t="s">
        <v>321</v>
      </c>
      <c r="C92" s="93">
        <v>3309</v>
      </c>
      <c r="D92" s="93">
        <v>3309</v>
      </c>
      <c r="E92" s="93">
        <v>3113</v>
      </c>
      <c r="F92" s="93">
        <v>3129.35</v>
      </c>
      <c r="G92" s="93">
        <v>3129.35</v>
      </c>
      <c r="H92" s="20">
        <v>1337136</v>
      </c>
      <c r="J92" t="s">
        <v>321</v>
      </c>
      <c r="K92" t="str">
        <v>Mar 8 2021</v>
      </c>
      <c r="L92" t="s">
        <v>427</v>
      </c>
      <c r="M92" s="96">
        <v>44411</v>
      </c>
    </row>
    <row r="93" spans="2:13">
      <c r="B93" t="s">
        <v>322</v>
      </c>
      <c r="C93" s="93">
        <v>3023.4</v>
      </c>
      <c r="D93" s="93">
        <v>3330</v>
      </c>
      <c r="E93" s="93">
        <v>2885.5</v>
      </c>
      <c r="F93" s="93">
        <v>3286.1</v>
      </c>
      <c r="G93" s="93">
        <v>3286.1</v>
      </c>
      <c r="H93" s="20">
        <v>4008326</v>
      </c>
      <c r="J93" t="s">
        <v>322</v>
      </c>
      <c r="K93" t="str">
        <v>Mar 1 2021</v>
      </c>
      <c r="L93" t="s">
        <v>428</v>
      </c>
      <c r="M93" s="96">
        <v>44199</v>
      </c>
    </row>
    <row r="94" spans="2:13">
      <c r="B94" t="s">
        <v>323</v>
      </c>
      <c r="C94" s="93">
        <v>3093.55</v>
      </c>
      <c r="D94" s="93">
        <v>3175.85</v>
      </c>
      <c r="E94" s="93">
        <v>2900</v>
      </c>
      <c r="F94" s="93">
        <v>2994.2</v>
      </c>
      <c r="G94" s="93">
        <v>2994.2</v>
      </c>
      <c r="H94" s="20">
        <v>2498664</v>
      </c>
      <c r="J94" t="s">
        <v>323</v>
      </c>
      <c r="K94" t="str">
        <v>Feb 22 2021</v>
      </c>
      <c r="L94" t="s">
        <v>429</v>
      </c>
      <c r="M94" s="96" t="s">
        <v>501</v>
      </c>
    </row>
    <row r="95" spans="2:13">
      <c r="B95" t="s">
        <v>324</v>
      </c>
      <c r="C95" s="93">
        <v>3369.6</v>
      </c>
      <c r="D95" s="93">
        <v>3378</v>
      </c>
      <c r="E95" s="93">
        <v>3300</v>
      </c>
      <c r="F95" s="93">
        <v>3349.2</v>
      </c>
      <c r="G95" s="93">
        <v>3349.2</v>
      </c>
      <c r="H95" s="20">
        <v>1661697</v>
      </c>
      <c r="J95" t="s">
        <v>324</v>
      </c>
      <c r="K95" t="str">
        <v>Jul 12 2021</v>
      </c>
      <c r="L95" t="s">
        <v>430</v>
      </c>
      <c r="M95" s="96">
        <v>44537</v>
      </c>
    </row>
    <row r="96" spans="2:13">
      <c r="B96" t="s">
        <v>325</v>
      </c>
      <c r="C96" s="93">
        <v>3375</v>
      </c>
      <c r="D96" s="93">
        <v>3425</v>
      </c>
      <c r="E96" s="93">
        <v>3326</v>
      </c>
      <c r="F96" s="93">
        <v>3377.6</v>
      </c>
      <c r="G96" s="93">
        <v>3377.6</v>
      </c>
      <c r="H96" s="20">
        <v>1323672</v>
      </c>
      <c r="J96" t="s">
        <v>325</v>
      </c>
      <c r="K96" t="str">
        <v>Jul 5 2021</v>
      </c>
      <c r="L96" t="s">
        <v>431</v>
      </c>
      <c r="M96" s="96">
        <v>44323</v>
      </c>
    </row>
    <row r="97" spans="2:13">
      <c r="B97" t="s">
        <v>326</v>
      </c>
      <c r="C97" s="93">
        <v>3315</v>
      </c>
      <c r="D97" s="93">
        <v>3373.7</v>
      </c>
      <c r="E97" s="93">
        <v>3251</v>
      </c>
      <c r="F97" s="93">
        <v>3314.3</v>
      </c>
      <c r="G97" s="93">
        <v>3314.3</v>
      </c>
      <c r="H97" s="20">
        <v>1416048</v>
      </c>
      <c r="J97" t="s">
        <v>326</v>
      </c>
      <c r="K97" t="str">
        <v>Jun 28 2021</v>
      </c>
      <c r="L97" t="s">
        <v>432</v>
      </c>
      <c r="M97" s="96" t="s">
        <v>502</v>
      </c>
    </row>
    <row r="98" spans="2:13">
      <c r="B98" t="s">
        <v>327</v>
      </c>
      <c r="C98" s="93">
        <v>3319.7</v>
      </c>
      <c r="D98" s="93">
        <v>3408.45</v>
      </c>
      <c r="E98" s="93">
        <v>3274</v>
      </c>
      <c r="F98" s="93">
        <v>3315.35</v>
      </c>
      <c r="G98" s="93">
        <v>3315.35</v>
      </c>
      <c r="H98" s="20">
        <v>1192651</v>
      </c>
      <c r="J98" t="s">
        <v>327</v>
      </c>
      <c r="K98" t="str">
        <v>Jun 21 2021</v>
      </c>
      <c r="L98" t="s">
        <v>433</v>
      </c>
      <c r="M98" s="96" t="s">
        <v>503</v>
      </c>
    </row>
    <row r="99" spans="2:13">
      <c r="B99" t="s">
        <v>328</v>
      </c>
      <c r="C99" s="93">
        <v>3180</v>
      </c>
      <c r="D99" s="93">
        <v>3396.9</v>
      </c>
      <c r="E99" s="93">
        <v>3108.05</v>
      </c>
      <c r="F99" s="93">
        <v>3317.7</v>
      </c>
      <c r="G99" s="93">
        <v>3317.7</v>
      </c>
      <c r="H99" s="20">
        <v>3118159</v>
      </c>
      <c r="J99" t="s">
        <v>328</v>
      </c>
      <c r="K99" t="str">
        <v>Jun 14 2021</v>
      </c>
      <c r="L99" t="s">
        <v>434</v>
      </c>
      <c r="M99" s="96" t="s">
        <v>504</v>
      </c>
    </row>
    <row r="100" spans="2:13">
      <c r="B100" t="s">
        <v>329</v>
      </c>
      <c r="C100" s="93">
        <v>3219.95</v>
      </c>
      <c r="D100" s="93">
        <v>3254.4</v>
      </c>
      <c r="E100" s="93">
        <v>3160</v>
      </c>
      <c r="F100" s="93">
        <v>3175.55</v>
      </c>
      <c r="G100" s="93">
        <v>3175.55</v>
      </c>
      <c r="H100" s="20">
        <v>1160727</v>
      </c>
      <c r="J100" t="s">
        <v>329</v>
      </c>
      <c r="K100" t="str">
        <v>Jun 7 2021</v>
      </c>
      <c r="L100" t="s">
        <v>435</v>
      </c>
      <c r="M100" s="96">
        <v>44383</v>
      </c>
    </row>
    <row r="101" spans="2:13">
      <c r="B101" t="s">
        <v>330</v>
      </c>
      <c r="C101" s="93">
        <v>3042.5</v>
      </c>
      <c r="D101" s="93">
        <v>3257</v>
      </c>
      <c r="E101" s="93">
        <v>3025</v>
      </c>
      <c r="F101" s="93">
        <v>3197</v>
      </c>
      <c r="G101" s="93">
        <v>3197</v>
      </c>
      <c r="H101" s="20">
        <v>1949990</v>
      </c>
      <c r="J101" t="s">
        <v>330</v>
      </c>
      <c r="K101" t="str">
        <v>May 31 2021</v>
      </c>
      <c r="L101" t="s">
        <v>436</v>
      </c>
      <c r="M101" s="96" t="s">
        <v>505</v>
      </c>
    </row>
    <row r="102" spans="2:13">
      <c r="B102" t="s">
        <v>331</v>
      </c>
      <c r="C102" s="93">
        <v>3046</v>
      </c>
      <c r="D102" s="93">
        <v>3135</v>
      </c>
      <c r="E102" s="93">
        <v>3000</v>
      </c>
      <c r="F102" s="93">
        <v>3022.1</v>
      </c>
      <c r="G102" s="93">
        <v>3022.1</v>
      </c>
      <c r="H102" s="20">
        <v>1755609</v>
      </c>
      <c r="J102" t="s">
        <v>331</v>
      </c>
      <c r="K102" t="str">
        <v>May 24 2021</v>
      </c>
      <c r="L102" t="s">
        <v>437</v>
      </c>
      <c r="M102" s="96" t="s">
        <v>506</v>
      </c>
    </row>
    <row r="103" spans="2:13">
      <c r="B103" t="s">
        <v>332</v>
      </c>
      <c r="C103" s="93">
        <v>2864</v>
      </c>
      <c r="D103" s="93">
        <v>3090.95</v>
      </c>
      <c r="E103" s="93">
        <v>2840.3</v>
      </c>
      <c r="F103" s="93">
        <v>3034.15</v>
      </c>
      <c r="G103" s="93">
        <v>3034.15</v>
      </c>
      <c r="H103" s="20">
        <v>2883160</v>
      </c>
      <c r="J103" t="s">
        <v>332</v>
      </c>
      <c r="K103" t="str">
        <v>May 17 2021</v>
      </c>
      <c r="L103" t="s">
        <v>438</v>
      </c>
      <c r="M103" s="96" t="s">
        <v>507</v>
      </c>
    </row>
    <row r="104" spans="2:13">
      <c r="B104" t="s">
        <v>333</v>
      </c>
      <c r="C104" s="93">
        <v>2925</v>
      </c>
      <c r="D104" s="93">
        <v>2960</v>
      </c>
      <c r="E104" s="93">
        <v>2825</v>
      </c>
      <c r="F104" s="93">
        <v>2844.65</v>
      </c>
      <c r="G104" s="93">
        <v>2844.65</v>
      </c>
      <c r="H104" s="20">
        <v>1568307</v>
      </c>
      <c r="J104" t="s">
        <v>333</v>
      </c>
      <c r="K104" t="str">
        <v>May 10 2021</v>
      </c>
      <c r="L104" t="s">
        <v>439</v>
      </c>
      <c r="M104" s="96">
        <v>44474</v>
      </c>
    </row>
    <row r="105" spans="2:13">
      <c r="B105" t="s">
        <v>334</v>
      </c>
      <c r="C105" s="93">
        <v>2845</v>
      </c>
      <c r="D105" s="93">
        <v>2955</v>
      </c>
      <c r="E105" s="93">
        <v>2822.9</v>
      </c>
      <c r="F105" s="93">
        <v>2895.5</v>
      </c>
      <c r="G105" s="93">
        <v>2895.5</v>
      </c>
      <c r="H105" s="20">
        <v>1132657</v>
      </c>
      <c r="J105" t="s">
        <v>334</v>
      </c>
      <c r="K105" t="str">
        <v>May 3 2021</v>
      </c>
      <c r="L105" t="s">
        <v>440</v>
      </c>
      <c r="M105" s="96">
        <v>44260</v>
      </c>
    </row>
    <row r="106" spans="2:13">
      <c r="B106" t="s">
        <v>335</v>
      </c>
      <c r="C106" s="93">
        <v>2729.9</v>
      </c>
      <c r="D106" s="93">
        <v>2988</v>
      </c>
      <c r="E106" s="93">
        <v>2719.15</v>
      </c>
      <c r="F106" s="93">
        <v>2852.9</v>
      </c>
      <c r="G106" s="93">
        <v>2852.9</v>
      </c>
      <c r="H106" s="20">
        <v>2034020</v>
      </c>
      <c r="J106" t="s">
        <v>335</v>
      </c>
      <c r="K106" t="str">
        <v>Apr 26 2021</v>
      </c>
      <c r="L106" t="s">
        <v>441</v>
      </c>
      <c r="M106" s="96" t="s">
        <v>508</v>
      </c>
    </row>
    <row r="107" spans="2:13">
      <c r="B107" t="s">
        <v>336</v>
      </c>
      <c r="C107" s="93">
        <v>2860.45</v>
      </c>
      <c r="D107" s="93">
        <v>2889.8</v>
      </c>
      <c r="E107" s="93">
        <v>2676.4</v>
      </c>
      <c r="F107" s="93">
        <v>2713.7</v>
      </c>
      <c r="G107" s="93">
        <v>2713.7</v>
      </c>
      <c r="H107" s="20">
        <v>2069856</v>
      </c>
      <c r="J107" t="s">
        <v>336</v>
      </c>
      <c r="K107" t="str">
        <v>Apr 19 2021</v>
      </c>
      <c r="L107" t="s">
        <v>442</v>
      </c>
      <c r="M107" s="96" t="s">
        <v>509</v>
      </c>
    </row>
    <row r="108" spans="2:13">
      <c r="B108" t="s">
        <v>337</v>
      </c>
      <c r="C108" s="93">
        <v>2861.1</v>
      </c>
      <c r="D108" s="93">
        <v>2980</v>
      </c>
      <c r="E108" s="93">
        <v>2790.1</v>
      </c>
      <c r="F108" s="93">
        <v>2919.9</v>
      </c>
      <c r="G108" s="93">
        <v>2919.9</v>
      </c>
      <c r="H108" s="20">
        <v>1455481</v>
      </c>
      <c r="J108" t="s">
        <v>337</v>
      </c>
      <c r="K108" t="str">
        <v>Apr 12 2021</v>
      </c>
      <c r="L108" t="s">
        <v>443</v>
      </c>
      <c r="M108" s="96">
        <v>44534</v>
      </c>
    </row>
    <row r="109" spans="2:13">
      <c r="B109" t="s">
        <v>338</v>
      </c>
      <c r="C109" s="93">
        <v>2890</v>
      </c>
      <c r="D109" s="93">
        <v>2973.35</v>
      </c>
      <c r="E109" s="93">
        <v>2793</v>
      </c>
      <c r="F109" s="93">
        <v>2947.75</v>
      </c>
      <c r="G109" s="93">
        <v>2947.75</v>
      </c>
      <c r="H109" s="20">
        <v>2425605</v>
      </c>
      <c r="J109" t="s">
        <v>338</v>
      </c>
      <c r="K109" t="str">
        <v>Apr 5 2021</v>
      </c>
      <c r="L109" t="s">
        <v>444</v>
      </c>
      <c r="M109" s="96">
        <v>44320</v>
      </c>
    </row>
    <row r="110" spans="2:13">
      <c r="B110" t="s">
        <v>339</v>
      </c>
      <c r="C110" s="93">
        <v>2855.2</v>
      </c>
      <c r="D110" s="93">
        <v>2925</v>
      </c>
      <c r="E110" s="93">
        <v>2807</v>
      </c>
      <c r="F110" s="93">
        <v>2912.7</v>
      </c>
      <c r="G110" s="93">
        <v>2912.7</v>
      </c>
      <c r="H110" s="20">
        <v>1546300</v>
      </c>
      <c r="J110" t="s">
        <v>339</v>
      </c>
      <c r="K110" t="str">
        <v>Mar 29 2021</v>
      </c>
      <c r="L110" t="s">
        <v>445</v>
      </c>
      <c r="M110" s="96" t="s">
        <v>510</v>
      </c>
    </row>
    <row r="111" spans="2:13">
      <c r="B111" t="s">
        <v>340</v>
      </c>
      <c r="C111" s="93">
        <v>2980</v>
      </c>
      <c r="D111" s="93">
        <v>3000.8</v>
      </c>
      <c r="E111" s="93">
        <v>2775</v>
      </c>
      <c r="F111" s="93">
        <v>2855.2</v>
      </c>
      <c r="G111" s="93">
        <v>2855.2</v>
      </c>
      <c r="H111" s="20">
        <v>2863288</v>
      </c>
      <c r="J111" t="s">
        <v>340</v>
      </c>
      <c r="K111" t="str">
        <v>Mar 22 2021</v>
      </c>
      <c r="L111" t="s">
        <v>446</v>
      </c>
      <c r="M111" s="96" t="s">
        <v>511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FCFE8-6955-B441-853E-F3F25C8008E4}">
  <dimension ref="B2:F107"/>
  <sheetViews>
    <sheetView zoomScale="137" workbookViewId="0">
      <selection activeCell="B2" sqref="B2"/>
    </sheetView>
  </sheetViews>
  <sheetFormatPr baseColWidth="10" defaultRowHeight="14"/>
  <sheetData>
    <row r="2" spans="2:6">
      <c r="B2" t="str" cm="1">
        <f t="array" aca="1" ref="B2:F107" ca="1">_xlfn.STOCKHISTORY("MSFT", "21/02/2021","21/02/2023",1,1,0,1,2,3,4.5)</f>
        <v>Date</v>
      </c>
      <c r="C2" t="str">
        <f ca="1"/>
        <v>Close</v>
      </c>
      <c r="D2" t="str">
        <f ca="1"/>
        <v>Open</v>
      </c>
      <c r="E2" t="str">
        <f ca="1"/>
        <v>High</v>
      </c>
      <c r="F2" t="str">
        <f ca="1"/>
        <v>Low</v>
      </c>
    </row>
    <row r="3" spans="2:6">
      <c r="B3" vm="1">
        <f ca="1"/>
        <v>44249</v>
      </c>
      <c r="C3" vm="2">
        <f ca="1"/>
        <v>232.38</v>
      </c>
      <c r="D3" vm="3">
        <f ca="1"/>
        <v>237.42</v>
      </c>
      <c r="E3" vm="4">
        <f ca="1"/>
        <v>237.93</v>
      </c>
      <c r="F3" vm="5">
        <f ca="1"/>
        <v>227.88</v>
      </c>
    </row>
    <row r="4" spans="2:6">
      <c r="B4" vm="6">
        <f ca="1"/>
        <v>44256</v>
      </c>
      <c r="C4" vm="7">
        <f ca="1"/>
        <v>231.6</v>
      </c>
      <c r="D4" vm="8">
        <f ca="1"/>
        <v>235.9</v>
      </c>
      <c r="E4" vm="9">
        <f ca="1"/>
        <v>237.47</v>
      </c>
      <c r="F4" vm="10">
        <f ca="1"/>
        <v>224.26</v>
      </c>
    </row>
    <row r="5" spans="2:6">
      <c r="B5" vm="11">
        <f ca="1"/>
        <v>44263</v>
      </c>
      <c r="C5" vm="12">
        <f ca="1"/>
        <v>235.75</v>
      </c>
      <c r="D5" vm="13">
        <f ca="1"/>
        <v>231.37</v>
      </c>
      <c r="E5" vm="14">
        <f ca="1"/>
        <v>239.17</v>
      </c>
      <c r="F5" vm="15">
        <f ca="1"/>
        <v>227.13</v>
      </c>
    </row>
    <row r="6" spans="2:6">
      <c r="B6" vm="16">
        <f ca="1"/>
        <v>44270</v>
      </c>
      <c r="C6" vm="17">
        <f ca="1"/>
        <v>230.35</v>
      </c>
      <c r="D6" vm="18">
        <f ca="1"/>
        <v>234.96</v>
      </c>
      <c r="E6" vm="19">
        <f ca="1"/>
        <v>240.05500000000001</v>
      </c>
      <c r="F6" vm="20">
        <f ca="1"/>
        <v>229.34960000000001</v>
      </c>
    </row>
    <row r="7" spans="2:6">
      <c r="B7" vm="21">
        <f ca="1"/>
        <v>44277</v>
      </c>
      <c r="C7" vm="22">
        <f ca="1"/>
        <v>236.48</v>
      </c>
      <c r="D7" vm="23">
        <f ca="1"/>
        <v>230.27</v>
      </c>
      <c r="E7" vm="24">
        <f ca="1"/>
        <v>241.05</v>
      </c>
      <c r="F7" vm="25">
        <f ca="1"/>
        <v>230.14</v>
      </c>
    </row>
    <row r="8" spans="2:6">
      <c r="B8" vm="26">
        <f ca="1"/>
        <v>44284</v>
      </c>
      <c r="C8" vm="27">
        <f ca="1"/>
        <v>242.35</v>
      </c>
      <c r="D8" vm="28">
        <f ca="1"/>
        <v>236.59</v>
      </c>
      <c r="E8" vm="29">
        <f ca="1"/>
        <v>242.84</v>
      </c>
      <c r="F8" vm="30">
        <f ca="1"/>
        <v>231.1</v>
      </c>
    </row>
    <row r="9" spans="2:6">
      <c r="B9" vm="31">
        <f ca="1"/>
        <v>44291</v>
      </c>
      <c r="C9" vm="32">
        <f ca="1"/>
        <v>255.85</v>
      </c>
      <c r="D9" vm="33">
        <f ca="1"/>
        <v>242.76</v>
      </c>
      <c r="E9" vm="34">
        <f ca="1"/>
        <v>255.99</v>
      </c>
      <c r="F9" vm="35">
        <f ca="1"/>
        <v>242.7</v>
      </c>
    </row>
    <row r="10" spans="2:6">
      <c r="B10" vm="36">
        <f ca="1"/>
        <v>44298</v>
      </c>
      <c r="C10" vm="37">
        <f ca="1"/>
        <v>260.74</v>
      </c>
      <c r="D10" vm="38">
        <f ca="1"/>
        <v>254.71</v>
      </c>
      <c r="E10" vm="39">
        <f ca="1"/>
        <v>261</v>
      </c>
      <c r="F10" vm="40">
        <f ca="1"/>
        <v>254.62</v>
      </c>
    </row>
    <row r="11" spans="2:6">
      <c r="B11" vm="41">
        <f ca="1"/>
        <v>44305</v>
      </c>
      <c r="C11" vm="42">
        <f ca="1"/>
        <v>261.14999999999998</v>
      </c>
      <c r="D11" vm="43">
        <f ca="1"/>
        <v>260.19</v>
      </c>
      <c r="E11" vm="44">
        <f ca="1"/>
        <v>261.77999999999997</v>
      </c>
      <c r="F11" vm="45">
        <f ca="1"/>
        <v>255.64</v>
      </c>
    </row>
    <row r="12" spans="2:6">
      <c r="B12" vm="46">
        <f ca="1"/>
        <v>44312</v>
      </c>
      <c r="C12" vm="47">
        <f ca="1"/>
        <v>252.18</v>
      </c>
      <c r="D12" vm="48">
        <f ca="1"/>
        <v>261.66000000000003</v>
      </c>
      <c r="E12" vm="49">
        <f ca="1"/>
        <v>263.19</v>
      </c>
      <c r="F12" vm="50">
        <f ca="1"/>
        <v>249</v>
      </c>
    </row>
    <row r="13" spans="2:6">
      <c r="B13" vm="51">
        <f ca="1"/>
        <v>44319</v>
      </c>
      <c r="C13" vm="52">
        <f ca="1"/>
        <v>252.46</v>
      </c>
      <c r="D13" vm="53">
        <f ca="1"/>
        <v>253.4</v>
      </c>
      <c r="E13" vm="54">
        <f ca="1"/>
        <v>254.35</v>
      </c>
      <c r="F13" vm="55">
        <f ca="1"/>
        <v>244.69</v>
      </c>
    </row>
    <row r="14" spans="2:6">
      <c r="B14" vm="56">
        <f ca="1"/>
        <v>44326</v>
      </c>
      <c r="C14" vm="57">
        <f ca="1"/>
        <v>248.15</v>
      </c>
      <c r="D14" vm="58">
        <f ca="1"/>
        <v>250.87</v>
      </c>
      <c r="E14" vm="59">
        <f ca="1"/>
        <v>251.73</v>
      </c>
      <c r="F14" vm="60">
        <f ca="1"/>
        <v>238.07</v>
      </c>
    </row>
    <row r="15" spans="2:6">
      <c r="B15" vm="61">
        <f ca="1"/>
        <v>44333</v>
      </c>
      <c r="C15" vm="62">
        <f ca="1"/>
        <v>245.17</v>
      </c>
      <c r="D15" vm="63">
        <f ca="1"/>
        <v>246.55</v>
      </c>
      <c r="E15" vm="64">
        <f ca="1"/>
        <v>248.33</v>
      </c>
      <c r="F15" vm="65">
        <f ca="1"/>
        <v>238.6</v>
      </c>
    </row>
    <row r="16" spans="2:6">
      <c r="B16" vm="66">
        <f ca="1"/>
        <v>44340</v>
      </c>
      <c r="C16" vm="67">
        <f ca="1"/>
        <v>249.68</v>
      </c>
      <c r="D16" vm="68">
        <f ca="1"/>
        <v>247.785</v>
      </c>
      <c r="E16" vm="69">
        <f ca="1"/>
        <v>252.94</v>
      </c>
      <c r="F16" vm="70">
        <f ca="1"/>
        <v>247.51</v>
      </c>
    </row>
    <row r="17" spans="2:6">
      <c r="B17" vm="71">
        <f ca="1"/>
        <v>44348</v>
      </c>
      <c r="C17" vm="72">
        <f ca="1"/>
        <v>250.79</v>
      </c>
      <c r="D17" vm="73">
        <f ca="1"/>
        <v>251.23</v>
      </c>
      <c r="E17" vm="74">
        <f ca="1"/>
        <v>251.65</v>
      </c>
      <c r="F17" vm="75">
        <f ca="1"/>
        <v>243</v>
      </c>
    </row>
    <row r="18" spans="2:6">
      <c r="B18" vm="76">
        <f ca="1"/>
        <v>44354</v>
      </c>
      <c r="C18" vm="77">
        <f ca="1"/>
        <v>257.89</v>
      </c>
      <c r="D18" vm="78">
        <f ca="1"/>
        <v>249.98</v>
      </c>
      <c r="E18" vm="79">
        <f ca="1"/>
        <v>258.48680000000002</v>
      </c>
      <c r="F18" vm="80">
        <f ca="1"/>
        <v>249.81</v>
      </c>
    </row>
    <row r="19" spans="2:6">
      <c r="B19" vm="81">
        <f ca="1"/>
        <v>44361</v>
      </c>
      <c r="C19" vm="82">
        <f ca="1"/>
        <v>259.43</v>
      </c>
      <c r="D19" vm="83">
        <f ca="1"/>
        <v>257.89999999999998</v>
      </c>
      <c r="E19" vm="84">
        <f ca="1"/>
        <v>262.3</v>
      </c>
      <c r="F19" vm="85">
        <f ca="1"/>
        <v>254.42</v>
      </c>
    </row>
    <row r="20" spans="2:6">
      <c r="B20" vm="86">
        <f ca="1"/>
        <v>44368</v>
      </c>
      <c r="C20" vm="87">
        <f ca="1"/>
        <v>265.02</v>
      </c>
      <c r="D20" vm="88">
        <f ca="1"/>
        <v>259.82</v>
      </c>
      <c r="E20" vm="89">
        <f ca="1"/>
        <v>267.85000000000002</v>
      </c>
      <c r="F20" vm="90">
        <f ca="1"/>
        <v>257.92</v>
      </c>
    </row>
    <row r="21" spans="2:6">
      <c r="B21" vm="91">
        <f ca="1"/>
        <v>44375</v>
      </c>
      <c r="C21" vm="92">
        <f ca="1"/>
        <v>277.64999999999998</v>
      </c>
      <c r="D21" vm="93">
        <f ca="1"/>
        <v>266.185</v>
      </c>
      <c r="E21" vm="94">
        <f ca="1"/>
        <v>278</v>
      </c>
      <c r="F21" vm="95">
        <f ca="1"/>
        <v>265.91000000000003</v>
      </c>
    </row>
    <row r="22" spans="2:6">
      <c r="B22" vm="96">
        <f ca="1"/>
        <v>44383</v>
      </c>
      <c r="C22" vm="97">
        <f ca="1"/>
        <v>277.94</v>
      </c>
      <c r="D22" vm="98">
        <f ca="1"/>
        <v>278.02999999999997</v>
      </c>
      <c r="E22" vm="99">
        <f ca="1"/>
        <v>280.69450000000001</v>
      </c>
      <c r="F22" vm="100">
        <f ca="1"/>
        <v>274.3</v>
      </c>
    </row>
    <row r="23" spans="2:6">
      <c r="B23" vm="101">
        <f ca="1"/>
        <v>44389</v>
      </c>
      <c r="C23" vm="102">
        <f ca="1"/>
        <v>280.75</v>
      </c>
      <c r="D23" vm="103">
        <f ca="1"/>
        <v>279.15699999999998</v>
      </c>
      <c r="E23" vm="104">
        <f ca="1"/>
        <v>284.10000000000002</v>
      </c>
      <c r="F23" vm="105">
        <f ca="1"/>
        <v>276.58</v>
      </c>
    </row>
    <row r="24" spans="2:6">
      <c r="B24" vm="106">
        <f ca="1"/>
        <v>44396</v>
      </c>
      <c r="C24" vm="107">
        <f ca="1"/>
        <v>289.67</v>
      </c>
      <c r="D24" vm="108">
        <f ca="1"/>
        <v>278.93349999999998</v>
      </c>
      <c r="E24" vm="109">
        <f ca="1"/>
        <v>289.99</v>
      </c>
      <c r="F24" vm="110">
        <f ca="1"/>
        <v>274.45</v>
      </c>
    </row>
    <row r="25" spans="2:6">
      <c r="B25" vm="111">
        <f ca="1"/>
        <v>44403</v>
      </c>
      <c r="C25" vm="112">
        <f ca="1"/>
        <v>284.91000000000003</v>
      </c>
      <c r="D25" vm="113">
        <f ca="1"/>
        <v>289</v>
      </c>
      <c r="E25" vm="114">
        <f ca="1"/>
        <v>290.14999999999998</v>
      </c>
      <c r="F25" vm="115">
        <f ca="1"/>
        <v>282.95</v>
      </c>
    </row>
    <row r="26" spans="2:6">
      <c r="B26" vm="116">
        <f ca="1"/>
        <v>44410</v>
      </c>
      <c r="C26" vm="117">
        <f ca="1"/>
        <v>289.45999999999998</v>
      </c>
      <c r="D26" vm="118">
        <f ca="1"/>
        <v>286.36</v>
      </c>
      <c r="E26" vm="119">
        <f ca="1"/>
        <v>289.63</v>
      </c>
      <c r="F26" vm="120">
        <f ca="1"/>
        <v>283.74</v>
      </c>
    </row>
    <row r="27" spans="2:6">
      <c r="B27" vm="121">
        <f ca="1"/>
        <v>44417</v>
      </c>
      <c r="C27" vm="122">
        <f ca="1"/>
        <v>292.85000000000002</v>
      </c>
      <c r="D27" vm="123">
        <f ca="1"/>
        <v>289.75</v>
      </c>
      <c r="E27" vm="124">
        <f ca="1"/>
        <v>292.89999999999998</v>
      </c>
      <c r="F27" vm="125">
        <f ca="1"/>
        <v>285.2</v>
      </c>
    </row>
    <row r="28" spans="2:6">
      <c r="B28" vm="126">
        <f ca="1"/>
        <v>44424</v>
      </c>
      <c r="C28" vm="127">
        <f ca="1"/>
        <v>304.36</v>
      </c>
      <c r="D28" vm="128">
        <f ca="1"/>
        <v>293.19</v>
      </c>
      <c r="E28" vm="129">
        <f ca="1"/>
        <v>305.83999999999997</v>
      </c>
      <c r="F28" vm="130">
        <f ca="1"/>
        <v>288.64</v>
      </c>
    </row>
    <row r="29" spans="2:6">
      <c r="B29" vm="131">
        <f ca="1"/>
        <v>44431</v>
      </c>
      <c r="C29" vm="132">
        <f ca="1"/>
        <v>299.72000000000003</v>
      </c>
      <c r="D29" vm="133">
        <f ca="1"/>
        <v>303.245</v>
      </c>
      <c r="E29" vm="134">
        <f ca="1"/>
        <v>305.64999999999998</v>
      </c>
      <c r="F29" vm="135">
        <f ca="1"/>
        <v>296.83</v>
      </c>
    </row>
    <row r="30" spans="2:6">
      <c r="B30" vm="136">
        <f ca="1"/>
        <v>44438</v>
      </c>
      <c r="C30" vm="137">
        <f ca="1"/>
        <v>301.14</v>
      </c>
      <c r="D30" vm="138">
        <f ca="1"/>
        <v>301.11500000000001</v>
      </c>
      <c r="E30" vm="139">
        <f ca="1"/>
        <v>305.19</v>
      </c>
      <c r="F30" vm="140">
        <f ca="1"/>
        <v>300.18</v>
      </c>
    </row>
    <row r="31" spans="2:6">
      <c r="B31" vm="141">
        <f ca="1"/>
        <v>44446</v>
      </c>
      <c r="C31" vm="142">
        <f ca="1"/>
        <v>295.70999999999998</v>
      </c>
      <c r="D31" vm="143">
        <f ca="1"/>
        <v>301.005</v>
      </c>
      <c r="E31" vm="144">
        <f ca="1"/>
        <v>302.14</v>
      </c>
      <c r="F31" vm="145">
        <f ca="1"/>
        <v>295.38</v>
      </c>
    </row>
    <row r="32" spans="2:6">
      <c r="B32" vm="146">
        <f ca="1"/>
        <v>44452</v>
      </c>
      <c r="C32" vm="147">
        <f ca="1"/>
        <v>299.87</v>
      </c>
      <c r="D32" vm="148">
        <f ca="1"/>
        <v>297.55</v>
      </c>
      <c r="E32" vm="149">
        <f ca="1"/>
        <v>305.32</v>
      </c>
      <c r="F32" vm="150">
        <f ca="1"/>
        <v>294.08</v>
      </c>
    </row>
    <row r="33" spans="2:6">
      <c r="B33" vm="151">
        <f ca="1"/>
        <v>44459</v>
      </c>
      <c r="C33" vm="152">
        <f ca="1"/>
        <v>299.35000000000002</v>
      </c>
      <c r="D33" vm="153">
        <f ca="1"/>
        <v>296.33</v>
      </c>
      <c r="E33" vm="154">
        <f ca="1"/>
        <v>300.89999999999998</v>
      </c>
      <c r="F33" vm="155">
        <f ca="1"/>
        <v>289.52</v>
      </c>
    </row>
    <row r="34" spans="2:6">
      <c r="B34" vm="156">
        <f ca="1"/>
        <v>44466</v>
      </c>
      <c r="C34" vm="157">
        <f ca="1"/>
        <v>289.10000000000002</v>
      </c>
      <c r="D34" vm="158">
        <f ca="1"/>
        <v>296.14</v>
      </c>
      <c r="E34" vm="159">
        <f ca="1"/>
        <v>296.47000000000003</v>
      </c>
      <c r="F34" vm="160">
        <f ca="1"/>
        <v>281.29000000000002</v>
      </c>
    </row>
    <row r="35" spans="2:6">
      <c r="B35" vm="161">
        <f ca="1"/>
        <v>44473</v>
      </c>
      <c r="C35" vm="162">
        <f ca="1"/>
        <v>294.85000000000002</v>
      </c>
      <c r="D35" vm="163">
        <f ca="1"/>
        <v>287.39999999999998</v>
      </c>
      <c r="E35" vm="164">
        <f ca="1"/>
        <v>296.64089999999999</v>
      </c>
      <c r="F35" vm="165">
        <f ca="1"/>
        <v>280.25</v>
      </c>
    </row>
    <row r="36" spans="2:6">
      <c r="B36" vm="166">
        <f ca="1"/>
        <v>44480</v>
      </c>
      <c r="C36" vm="167">
        <f ca="1"/>
        <v>304.20999999999998</v>
      </c>
      <c r="D36" vm="168">
        <f ca="1"/>
        <v>292.92</v>
      </c>
      <c r="E36" vm="169">
        <f ca="1"/>
        <v>304.45</v>
      </c>
      <c r="F36" vm="170">
        <f ca="1"/>
        <v>292.35000000000002</v>
      </c>
    </row>
    <row r="37" spans="2:6">
      <c r="B37" vm="171">
        <f ca="1"/>
        <v>44487</v>
      </c>
      <c r="C37" vm="172">
        <f ca="1"/>
        <v>309.16000000000003</v>
      </c>
      <c r="D37" vm="173">
        <f ca="1"/>
        <v>303.57</v>
      </c>
      <c r="E37" vm="174">
        <f ca="1"/>
        <v>311.08999999999997</v>
      </c>
      <c r="F37" vm="175">
        <f ca="1"/>
        <v>302.69</v>
      </c>
    </row>
    <row r="38" spans="2:6">
      <c r="B38" vm="176">
        <f ca="1"/>
        <v>44494</v>
      </c>
      <c r="C38" vm="177">
        <f ca="1"/>
        <v>331.62</v>
      </c>
      <c r="D38" vm="178">
        <f ca="1"/>
        <v>309.36</v>
      </c>
      <c r="E38" vm="179">
        <f ca="1"/>
        <v>332</v>
      </c>
      <c r="F38" vm="180">
        <f ca="1"/>
        <v>306.45999999999998</v>
      </c>
    </row>
    <row r="39" spans="2:6">
      <c r="B39" vm="181">
        <f ca="1"/>
        <v>44501</v>
      </c>
      <c r="C39" vm="182">
        <f ca="1"/>
        <v>336.06</v>
      </c>
      <c r="D39" vm="183">
        <f ca="1"/>
        <v>331.35500000000002</v>
      </c>
      <c r="E39" vm="184">
        <f ca="1"/>
        <v>338.79</v>
      </c>
      <c r="F39" vm="185">
        <f ca="1"/>
        <v>326.37</v>
      </c>
    </row>
    <row r="40" spans="2:6">
      <c r="B40" vm="186">
        <f ca="1"/>
        <v>44508</v>
      </c>
      <c r="C40" vm="187">
        <f ca="1"/>
        <v>336.72</v>
      </c>
      <c r="D40" vm="188">
        <f ca="1"/>
        <v>337.3</v>
      </c>
      <c r="E40" vm="189">
        <f ca="1"/>
        <v>338.72</v>
      </c>
      <c r="F40" vm="190">
        <f ca="1"/>
        <v>329.92</v>
      </c>
    </row>
    <row r="41" spans="2:6">
      <c r="B41" vm="191">
        <f ca="1"/>
        <v>44515</v>
      </c>
      <c r="C41" vm="192">
        <f ca="1"/>
        <v>343.11</v>
      </c>
      <c r="D41" vm="193">
        <f ca="1"/>
        <v>337.54</v>
      </c>
      <c r="E41" vm="194">
        <f ca="1"/>
        <v>345.1</v>
      </c>
      <c r="F41" vm="195">
        <f ca="1"/>
        <v>334.03399999999999</v>
      </c>
    </row>
    <row r="42" spans="2:6">
      <c r="B42" vm="196">
        <f ca="1"/>
        <v>44522</v>
      </c>
      <c r="C42" vm="197">
        <f ca="1"/>
        <v>329.68</v>
      </c>
      <c r="D42" vm="198">
        <f ca="1"/>
        <v>344.62</v>
      </c>
      <c r="E42" vm="199">
        <f ca="1"/>
        <v>349.67</v>
      </c>
      <c r="F42" vm="200">
        <f ca="1"/>
        <v>328.12</v>
      </c>
    </row>
    <row r="43" spans="2:6">
      <c r="B43" vm="201">
        <f ca="1"/>
        <v>44529</v>
      </c>
      <c r="C43" vm="202">
        <f ca="1"/>
        <v>323.01</v>
      </c>
      <c r="D43" vm="203">
        <f ca="1"/>
        <v>334.94</v>
      </c>
      <c r="E43" vm="204">
        <f ca="1"/>
        <v>339.28</v>
      </c>
      <c r="F43" vm="205">
        <f ca="1"/>
        <v>318.02999999999997</v>
      </c>
    </row>
    <row r="44" spans="2:6">
      <c r="B44" vm="206">
        <f ca="1"/>
        <v>44536</v>
      </c>
      <c r="C44" vm="207">
        <f ca="1"/>
        <v>342.54</v>
      </c>
      <c r="D44" vm="208">
        <f ca="1"/>
        <v>323.95</v>
      </c>
      <c r="E44" vm="209">
        <f ca="1"/>
        <v>343</v>
      </c>
      <c r="F44" vm="210">
        <f ca="1"/>
        <v>319.23</v>
      </c>
    </row>
    <row r="45" spans="2:6">
      <c r="B45" vm="211">
        <f ca="1"/>
        <v>44543</v>
      </c>
      <c r="C45" vm="212">
        <f ca="1"/>
        <v>323.8</v>
      </c>
      <c r="D45" vm="213">
        <f ca="1"/>
        <v>340.68</v>
      </c>
      <c r="E45" vm="214">
        <f ca="1"/>
        <v>343.79</v>
      </c>
      <c r="F45" vm="215">
        <f ca="1"/>
        <v>317.25</v>
      </c>
    </row>
    <row r="46" spans="2:6">
      <c r="B46" vm="216">
        <f ca="1"/>
        <v>44550</v>
      </c>
      <c r="C46" vm="217">
        <f ca="1"/>
        <v>334.69</v>
      </c>
      <c r="D46" vm="218">
        <f ca="1"/>
        <v>320.05</v>
      </c>
      <c r="E46" vm="219">
        <f ca="1"/>
        <v>336.39</v>
      </c>
      <c r="F46" vm="220">
        <f ca="1"/>
        <v>317.57</v>
      </c>
    </row>
    <row r="47" spans="2:6">
      <c r="B47" vm="221">
        <f ca="1"/>
        <v>44557</v>
      </c>
      <c r="C47" vm="222">
        <f ca="1"/>
        <v>336.32</v>
      </c>
      <c r="D47" vm="223">
        <f ca="1"/>
        <v>335.46</v>
      </c>
      <c r="E47" vm="224">
        <f ca="1"/>
        <v>344.3</v>
      </c>
      <c r="F47" vm="225">
        <f ca="1"/>
        <v>335.43</v>
      </c>
    </row>
    <row r="48" spans="2:6">
      <c r="B48" vm="226">
        <f ca="1"/>
        <v>44564</v>
      </c>
      <c r="C48" vm="227">
        <f ca="1"/>
        <v>314.04000000000002</v>
      </c>
      <c r="D48" vm="228">
        <f ca="1"/>
        <v>335.35</v>
      </c>
      <c r="E48" vm="229">
        <f ca="1"/>
        <v>338</v>
      </c>
      <c r="F48" vm="230">
        <f ca="1"/>
        <v>310.08999999999997</v>
      </c>
    </row>
    <row r="49" spans="2:6">
      <c r="B49" vm="231">
        <f ca="1"/>
        <v>44571</v>
      </c>
      <c r="C49" vm="232">
        <f ca="1"/>
        <v>310.2</v>
      </c>
      <c r="D49" vm="233">
        <f ca="1"/>
        <v>309.48500000000001</v>
      </c>
      <c r="E49" vm="234">
        <f ca="1"/>
        <v>323.41000000000003</v>
      </c>
      <c r="F49" vm="235">
        <f ca="1"/>
        <v>303.75</v>
      </c>
    </row>
    <row r="50" spans="2:6">
      <c r="B50" vm="236">
        <f ca="1"/>
        <v>44579</v>
      </c>
      <c r="C50" vm="237">
        <f ca="1"/>
        <v>296.02999999999997</v>
      </c>
      <c r="D50" vm="238">
        <f ca="1"/>
        <v>304.07</v>
      </c>
      <c r="E50" vm="239">
        <f ca="1"/>
        <v>313.90929999999997</v>
      </c>
      <c r="F50" vm="240">
        <f ca="1"/>
        <v>295.61</v>
      </c>
    </row>
    <row r="51" spans="2:6">
      <c r="B51" vm="241">
        <f ca="1"/>
        <v>44585</v>
      </c>
      <c r="C51" vm="242">
        <f ca="1"/>
        <v>308.26</v>
      </c>
      <c r="D51" vm="243">
        <f ca="1"/>
        <v>292.2</v>
      </c>
      <c r="E51" vm="244">
        <f ca="1"/>
        <v>308.5</v>
      </c>
      <c r="F51" vm="245">
        <f ca="1"/>
        <v>276.05</v>
      </c>
    </row>
    <row r="52" spans="2:6">
      <c r="B52" vm="246">
        <f ca="1"/>
        <v>44592</v>
      </c>
      <c r="C52" vm="247">
        <f ca="1"/>
        <v>305.94</v>
      </c>
      <c r="D52" vm="248">
        <f ca="1"/>
        <v>308.95</v>
      </c>
      <c r="E52" vm="249">
        <f ca="1"/>
        <v>315.12</v>
      </c>
      <c r="F52" vm="250">
        <f ca="1"/>
        <v>299.95999999999998</v>
      </c>
    </row>
    <row r="53" spans="2:6">
      <c r="B53" vm="251">
        <f ca="1"/>
        <v>44599</v>
      </c>
      <c r="C53" vm="252">
        <f ca="1"/>
        <v>295.04000000000002</v>
      </c>
      <c r="D53" vm="253">
        <f ca="1"/>
        <v>306.17</v>
      </c>
      <c r="E53" vm="254">
        <f ca="1"/>
        <v>311.93</v>
      </c>
      <c r="F53" vm="255">
        <f ca="1"/>
        <v>294.22000000000003</v>
      </c>
    </row>
    <row r="54" spans="2:6">
      <c r="B54" vm="256">
        <f ca="1"/>
        <v>44606</v>
      </c>
      <c r="C54" vm="257">
        <f ca="1"/>
        <v>287.93</v>
      </c>
      <c r="D54" vm="258">
        <f ca="1"/>
        <v>293.77</v>
      </c>
      <c r="E54" vm="259">
        <f ca="1"/>
        <v>300.87</v>
      </c>
      <c r="F54" vm="260">
        <f ca="1"/>
        <v>286.30500000000001</v>
      </c>
    </row>
    <row r="55" spans="2:6">
      <c r="B55" vm="261">
        <f ca="1"/>
        <v>44614</v>
      </c>
      <c r="C55" vm="262">
        <f ca="1"/>
        <v>297.31</v>
      </c>
      <c r="D55" vm="263">
        <f ca="1"/>
        <v>285</v>
      </c>
      <c r="E55" vm="264">
        <f ca="1"/>
        <v>297.63</v>
      </c>
      <c r="F55" vm="265">
        <f ca="1"/>
        <v>271.52</v>
      </c>
    </row>
    <row r="56" spans="2:6">
      <c r="B56" vm="266">
        <f ca="1"/>
        <v>44620</v>
      </c>
      <c r="C56" vm="267">
        <f ca="1"/>
        <v>289.86</v>
      </c>
      <c r="D56" vm="268">
        <f ca="1"/>
        <v>294.31</v>
      </c>
      <c r="E56" vm="269">
        <f ca="1"/>
        <v>303.13</v>
      </c>
      <c r="F56" vm="270">
        <f ca="1"/>
        <v>287.16500000000002</v>
      </c>
    </row>
    <row r="57" spans="2:6">
      <c r="B57" vm="271">
        <f ca="1"/>
        <v>44627</v>
      </c>
      <c r="C57" vm="272">
        <f ca="1"/>
        <v>280.07</v>
      </c>
      <c r="D57" vm="273">
        <f ca="1"/>
        <v>288.52999999999997</v>
      </c>
      <c r="E57" vm="274">
        <f ca="1"/>
        <v>289.69</v>
      </c>
      <c r="F57" vm="275">
        <f ca="1"/>
        <v>270</v>
      </c>
    </row>
    <row r="58" spans="2:6">
      <c r="B58" vm="276">
        <f ca="1"/>
        <v>44634</v>
      </c>
      <c r="C58" vm="277">
        <f ca="1"/>
        <v>300.43</v>
      </c>
      <c r="D58" vm="278">
        <f ca="1"/>
        <v>280.33999999999997</v>
      </c>
      <c r="E58" vm="279">
        <f ca="1"/>
        <v>301</v>
      </c>
      <c r="F58" vm="280">
        <f ca="1"/>
        <v>275.82</v>
      </c>
    </row>
    <row r="59" spans="2:6">
      <c r="B59" vm="281">
        <f ca="1"/>
        <v>44641</v>
      </c>
      <c r="C59" vm="282">
        <f ca="1"/>
        <v>303.68</v>
      </c>
      <c r="D59" vm="283">
        <f ca="1"/>
        <v>298.89</v>
      </c>
      <c r="E59" vm="284">
        <f ca="1"/>
        <v>305.5</v>
      </c>
      <c r="F59" vm="285">
        <f ca="1"/>
        <v>294.89999999999998</v>
      </c>
    </row>
    <row r="60" spans="2:6">
      <c r="B60" vm="286">
        <f ca="1"/>
        <v>44648</v>
      </c>
      <c r="C60" vm="287">
        <f ca="1"/>
        <v>309.42</v>
      </c>
      <c r="D60" vm="288">
        <f ca="1"/>
        <v>304.33</v>
      </c>
      <c r="E60" vm="289">
        <f ca="1"/>
        <v>315.95</v>
      </c>
      <c r="F60" vm="288">
        <f ca="1"/>
        <v>304.33</v>
      </c>
    </row>
    <row r="61" spans="2:6">
      <c r="B61" vm="290">
        <f ca="1"/>
        <v>44655</v>
      </c>
      <c r="C61" vm="291">
        <f ca="1"/>
        <v>296.97000000000003</v>
      </c>
      <c r="D61" vm="230">
        <f ca="1"/>
        <v>310.08999999999997</v>
      </c>
      <c r="E61" vm="292">
        <f ca="1"/>
        <v>315.11</v>
      </c>
      <c r="F61" vm="293">
        <f ca="1"/>
        <v>296.27999999999997</v>
      </c>
    </row>
    <row r="62" spans="2:6">
      <c r="B62" vm="294">
        <f ca="1"/>
        <v>44662</v>
      </c>
      <c r="C62" vm="295">
        <f ca="1"/>
        <v>279.83</v>
      </c>
      <c r="D62" vm="296">
        <f ca="1"/>
        <v>291.79000000000002</v>
      </c>
      <c r="E62" vm="297">
        <f ca="1"/>
        <v>292.61</v>
      </c>
      <c r="F62" vm="298">
        <f ca="1"/>
        <v>279.32</v>
      </c>
    </row>
    <row r="63" spans="2:6">
      <c r="B63" vm="299">
        <f ca="1"/>
        <v>44669</v>
      </c>
      <c r="C63" vm="300">
        <f ca="1"/>
        <v>274.02999999999997</v>
      </c>
      <c r="D63" vm="301">
        <f ca="1"/>
        <v>278.91000000000003</v>
      </c>
      <c r="E63" vm="302">
        <f ca="1"/>
        <v>293.3</v>
      </c>
      <c r="F63" vm="303">
        <f ca="1"/>
        <v>273.38</v>
      </c>
    </row>
    <row r="64" spans="2:6">
      <c r="B64" vm="304">
        <f ca="1"/>
        <v>44676</v>
      </c>
      <c r="C64" vm="305">
        <f ca="1"/>
        <v>277.52</v>
      </c>
      <c r="D64" vm="306">
        <f ca="1"/>
        <v>273.29000000000002</v>
      </c>
      <c r="E64" vm="307">
        <f ca="1"/>
        <v>290.98</v>
      </c>
      <c r="F64" vm="275">
        <f ca="1"/>
        <v>270</v>
      </c>
    </row>
    <row r="65" spans="2:6">
      <c r="B65" vm="308">
        <f ca="1"/>
        <v>44683</v>
      </c>
      <c r="C65" vm="309">
        <f ca="1"/>
        <v>274.73</v>
      </c>
      <c r="D65" vm="310">
        <f ca="1"/>
        <v>277.70999999999998</v>
      </c>
      <c r="E65" vm="311">
        <f ca="1"/>
        <v>290.88</v>
      </c>
      <c r="F65" vm="312">
        <f ca="1"/>
        <v>271.27</v>
      </c>
    </row>
    <row r="66" spans="2:6">
      <c r="B66" vm="313">
        <f ca="1"/>
        <v>44690</v>
      </c>
      <c r="C66" vm="314">
        <f ca="1"/>
        <v>261.12</v>
      </c>
      <c r="D66" vm="315">
        <f ca="1"/>
        <v>270.06</v>
      </c>
      <c r="E66" vm="316">
        <f ca="1"/>
        <v>273.75</v>
      </c>
      <c r="F66" vm="317">
        <f ca="1"/>
        <v>250.02</v>
      </c>
    </row>
    <row r="67" spans="2:6">
      <c r="B67" vm="318">
        <f ca="1"/>
        <v>44697</v>
      </c>
      <c r="C67" vm="319">
        <f ca="1"/>
        <v>252.56</v>
      </c>
      <c r="D67" vm="320">
        <f ca="1"/>
        <v>259.95499999999998</v>
      </c>
      <c r="E67" vm="321">
        <f ca="1"/>
        <v>268.33</v>
      </c>
      <c r="F67" vm="322">
        <f ca="1"/>
        <v>246.44</v>
      </c>
    </row>
    <row r="68" spans="2:6">
      <c r="B68" vm="323">
        <f ca="1"/>
        <v>44704</v>
      </c>
      <c r="C68" vm="324">
        <f ca="1"/>
        <v>273.24</v>
      </c>
      <c r="D68" vm="325">
        <f ca="1"/>
        <v>255.49</v>
      </c>
      <c r="E68" vm="326">
        <f ca="1"/>
        <v>273.33999999999997</v>
      </c>
      <c r="F68" vm="327">
        <f ca="1"/>
        <v>253.43</v>
      </c>
    </row>
    <row r="69" spans="2:6">
      <c r="B69" vm="328">
        <f ca="1"/>
        <v>44712</v>
      </c>
      <c r="C69" vm="329">
        <f ca="1"/>
        <v>270.02</v>
      </c>
      <c r="D69" vm="330">
        <f ca="1"/>
        <v>272.52999999999997</v>
      </c>
      <c r="E69" vm="331">
        <f ca="1"/>
        <v>277.69</v>
      </c>
      <c r="F69" vm="332">
        <f ca="1"/>
        <v>261.60000000000002</v>
      </c>
    </row>
    <row r="70" spans="2:6">
      <c r="B70" vm="333">
        <f ca="1"/>
        <v>44718</v>
      </c>
      <c r="C70" vm="334">
        <f ca="1"/>
        <v>252.99</v>
      </c>
      <c r="D70" vm="335">
        <f ca="1"/>
        <v>272.06</v>
      </c>
      <c r="E70" vm="336">
        <f ca="1"/>
        <v>274.18</v>
      </c>
      <c r="F70" vm="337">
        <f ca="1"/>
        <v>252.53</v>
      </c>
    </row>
    <row r="71" spans="2:6">
      <c r="B71" vm="338">
        <f ca="1"/>
        <v>44725</v>
      </c>
      <c r="C71" vm="339">
        <f ca="1"/>
        <v>247.65</v>
      </c>
      <c r="D71" vm="340">
        <f ca="1"/>
        <v>245.11</v>
      </c>
      <c r="E71" vm="341">
        <f ca="1"/>
        <v>255.3</v>
      </c>
      <c r="F71" vm="342">
        <f ca="1"/>
        <v>241.51</v>
      </c>
    </row>
    <row r="72" spans="2:6">
      <c r="B72" vm="343">
        <f ca="1"/>
        <v>44733</v>
      </c>
      <c r="C72" vm="344">
        <f ca="1"/>
        <v>267.7</v>
      </c>
      <c r="D72" vm="345">
        <f ca="1"/>
        <v>250.255</v>
      </c>
      <c r="E72" vm="346">
        <f ca="1"/>
        <v>267.98</v>
      </c>
      <c r="F72" vm="347">
        <f ca="1"/>
        <v>249.51</v>
      </c>
    </row>
    <row r="73" spans="2:6">
      <c r="B73" vm="348">
        <f ca="1"/>
        <v>44739</v>
      </c>
      <c r="C73" vm="349">
        <f ca="1"/>
        <v>259.58</v>
      </c>
      <c r="D73" vm="350">
        <f ca="1"/>
        <v>268.20499999999998</v>
      </c>
      <c r="E73" vm="351">
        <f ca="1"/>
        <v>268.3</v>
      </c>
      <c r="F73" vm="352">
        <f ca="1"/>
        <v>252.9</v>
      </c>
    </row>
    <row r="74" spans="2:6">
      <c r="B74" vm="353">
        <f ca="1"/>
        <v>44747</v>
      </c>
      <c r="C74" vm="354">
        <f ca="1"/>
        <v>267.66000000000003</v>
      </c>
      <c r="D74" vm="355">
        <f ca="1"/>
        <v>256.16000000000003</v>
      </c>
      <c r="E74" vm="356">
        <f ca="1"/>
        <v>269.05500000000001</v>
      </c>
      <c r="F74" vm="357">
        <f ca="1"/>
        <v>254.74</v>
      </c>
    </row>
    <row r="75" spans="2:6">
      <c r="B75" vm="358">
        <f ca="1"/>
        <v>44753</v>
      </c>
      <c r="C75" vm="359">
        <f ca="1"/>
        <v>256.72000000000003</v>
      </c>
      <c r="D75" vm="360">
        <f ca="1"/>
        <v>265.64999999999998</v>
      </c>
      <c r="E75" vm="361">
        <f ca="1"/>
        <v>266.52999999999997</v>
      </c>
      <c r="F75" vm="362">
        <f ca="1"/>
        <v>245.94</v>
      </c>
    </row>
    <row r="76" spans="2:6">
      <c r="B76" vm="363">
        <f ca="1"/>
        <v>44760</v>
      </c>
      <c r="C76" vm="364">
        <f ca="1"/>
        <v>260.36</v>
      </c>
      <c r="D76" vm="365">
        <f ca="1"/>
        <v>259.75</v>
      </c>
      <c r="E76" vm="366">
        <f ca="1"/>
        <v>265.33</v>
      </c>
      <c r="F76" vm="367">
        <f ca="1"/>
        <v>253.3</v>
      </c>
    </row>
    <row r="77" spans="2:6">
      <c r="B77" vm="368">
        <f ca="1"/>
        <v>44767</v>
      </c>
      <c r="C77" vm="369">
        <f ca="1"/>
        <v>280.74</v>
      </c>
      <c r="D77" vm="370">
        <f ca="1"/>
        <v>260.995</v>
      </c>
      <c r="E77" vm="371">
        <f ca="1"/>
        <v>282</v>
      </c>
      <c r="F77" vm="372">
        <f ca="1"/>
        <v>249.57</v>
      </c>
    </row>
    <row r="78" spans="2:6">
      <c r="B78" vm="373">
        <f ca="1"/>
        <v>44774</v>
      </c>
      <c r="C78" vm="374">
        <f ca="1"/>
        <v>282.91000000000003</v>
      </c>
      <c r="D78" vm="375">
        <f ca="1"/>
        <v>277.82</v>
      </c>
      <c r="E78" vm="376">
        <f ca="1"/>
        <v>283.8</v>
      </c>
      <c r="F78" vm="377">
        <f ca="1"/>
        <v>272.38</v>
      </c>
    </row>
    <row r="79" spans="2:6">
      <c r="B79" vm="378">
        <f ca="1"/>
        <v>44781</v>
      </c>
      <c r="C79" vm="379">
        <f ca="1"/>
        <v>291.91000000000003</v>
      </c>
      <c r="D79" vm="380">
        <f ca="1"/>
        <v>284.05</v>
      </c>
      <c r="E79" vm="379">
        <f ca="1"/>
        <v>291.91000000000003</v>
      </c>
      <c r="F79" vm="381">
        <f ca="1"/>
        <v>277.61</v>
      </c>
    </row>
    <row r="80" spans="2:6">
      <c r="B80" vm="382">
        <f ca="1"/>
        <v>44788</v>
      </c>
      <c r="C80" vm="383">
        <f ca="1"/>
        <v>286.14999999999998</v>
      </c>
      <c r="D80" vm="384">
        <f ca="1"/>
        <v>291</v>
      </c>
      <c r="E80" vm="385">
        <f ca="1"/>
        <v>294.18</v>
      </c>
      <c r="F80" vm="386">
        <f ca="1"/>
        <v>285.56</v>
      </c>
    </row>
    <row r="81" spans="2:6">
      <c r="B81" vm="387">
        <f ca="1"/>
        <v>44795</v>
      </c>
      <c r="C81" vm="388">
        <f ca="1"/>
        <v>268.08999999999997</v>
      </c>
      <c r="D81" vm="389">
        <f ca="1"/>
        <v>282.08</v>
      </c>
      <c r="E81" vm="390">
        <f ca="1"/>
        <v>282.45999999999998</v>
      </c>
      <c r="F81" vm="346">
        <f ca="1"/>
        <v>267.98</v>
      </c>
    </row>
    <row r="82" spans="2:6">
      <c r="B82" vm="391">
        <f ca="1"/>
        <v>44802</v>
      </c>
      <c r="C82" vm="392">
        <f ca="1"/>
        <v>256.06</v>
      </c>
      <c r="D82" vm="393">
        <f ca="1"/>
        <v>265.85000000000002</v>
      </c>
      <c r="E82" vm="394">
        <f ca="1"/>
        <v>267.39999999999998</v>
      </c>
      <c r="F82" vm="395">
        <f ca="1"/>
        <v>254.47</v>
      </c>
    </row>
    <row r="83" spans="2:6">
      <c r="B83" vm="396">
        <f ca="1"/>
        <v>44810</v>
      </c>
      <c r="C83" vm="397">
        <f ca="1"/>
        <v>264.45999999999998</v>
      </c>
      <c r="D83" vm="398">
        <f ca="1"/>
        <v>256.2</v>
      </c>
      <c r="E83" vm="399">
        <f ca="1"/>
        <v>265.23</v>
      </c>
      <c r="F83" vm="400">
        <f ca="1"/>
        <v>251.94</v>
      </c>
    </row>
    <row r="84" spans="2:6">
      <c r="B84" vm="401">
        <f ca="1"/>
        <v>44816</v>
      </c>
      <c r="C84" vm="402">
        <f ca="1"/>
        <v>244.74</v>
      </c>
      <c r="D84" vm="403">
        <f ca="1"/>
        <v>265.77999999999997</v>
      </c>
      <c r="E84" vm="404">
        <f ca="1"/>
        <v>267.45</v>
      </c>
      <c r="F84" vm="405">
        <f ca="1"/>
        <v>242.06270000000001</v>
      </c>
    </row>
    <row r="85" spans="2:6">
      <c r="B85" vm="406">
        <f ca="1"/>
        <v>44823</v>
      </c>
      <c r="C85" vm="407">
        <f ca="1"/>
        <v>237.92</v>
      </c>
      <c r="D85" vm="408">
        <f ca="1"/>
        <v>242.465</v>
      </c>
      <c r="E85" vm="409">
        <f ca="1"/>
        <v>247.66</v>
      </c>
      <c r="F85" vm="410">
        <f ca="1"/>
        <v>235.2</v>
      </c>
    </row>
    <row r="86" spans="2:6">
      <c r="B86" vm="411">
        <f ca="1"/>
        <v>44830</v>
      </c>
      <c r="C86" vm="412">
        <f ca="1"/>
        <v>232.9</v>
      </c>
      <c r="D86" vm="413">
        <f ca="1"/>
        <v>237.04499999999999</v>
      </c>
      <c r="E86" vm="414">
        <f ca="1"/>
        <v>242.33</v>
      </c>
      <c r="F86" vm="415">
        <f ca="1"/>
        <v>232.73</v>
      </c>
    </row>
    <row r="87" spans="2:6">
      <c r="B87" vm="416">
        <f ca="1"/>
        <v>44837</v>
      </c>
      <c r="C87" vm="417">
        <f ca="1"/>
        <v>234.24</v>
      </c>
      <c r="D87" vm="418">
        <f ca="1"/>
        <v>235.41</v>
      </c>
      <c r="E87" vm="419">
        <f ca="1"/>
        <v>250.58</v>
      </c>
      <c r="F87" vm="420">
        <f ca="1"/>
        <v>233.17</v>
      </c>
    </row>
    <row r="88" spans="2:6">
      <c r="B88" vm="421">
        <f ca="1"/>
        <v>44844</v>
      </c>
      <c r="C88" vm="422">
        <f ca="1"/>
        <v>228.56</v>
      </c>
      <c r="D88" vm="423">
        <f ca="1"/>
        <v>233.05</v>
      </c>
      <c r="E88" vm="424">
        <f ca="1"/>
        <v>237.24</v>
      </c>
      <c r="F88" vm="425">
        <f ca="1"/>
        <v>219.13</v>
      </c>
    </row>
    <row r="89" spans="2:6">
      <c r="B89" vm="426">
        <f ca="1"/>
        <v>44851</v>
      </c>
      <c r="C89" vm="427">
        <f ca="1"/>
        <v>242.12</v>
      </c>
      <c r="D89" vm="428">
        <f ca="1"/>
        <v>235.82</v>
      </c>
      <c r="E89" vm="429">
        <f ca="1"/>
        <v>243.93</v>
      </c>
      <c r="F89" vm="430">
        <f ca="1"/>
        <v>234.29</v>
      </c>
    </row>
    <row r="90" spans="2:6">
      <c r="B90" vm="431">
        <f ca="1"/>
        <v>44858</v>
      </c>
      <c r="C90" vm="432">
        <f ca="1"/>
        <v>235.87</v>
      </c>
      <c r="D90" vm="433">
        <f ca="1"/>
        <v>243.76</v>
      </c>
      <c r="E90" vm="434">
        <f ca="1"/>
        <v>251.04</v>
      </c>
      <c r="F90" vm="435">
        <f ca="1"/>
        <v>225.78</v>
      </c>
    </row>
    <row r="91" spans="2:6">
      <c r="B91" vm="436">
        <f ca="1"/>
        <v>44865</v>
      </c>
      <c r="C91" vm="437">
        <f ca="1"/>
        <v>221.39</v>
      </c>
      <c r="D91" vm="438">
        <f ca="1"/>
        <v>233.76</v>
      </c>
      <c r="E91" vm="439">
        <f ca="1"/>
        <v>235.74</v>
      </c>
      <c r="F91" vm="440">
        <f ca="1"/>
        <v>213.43100000000001</v>
      </c>
    </row>
    <row r="92" spans="2:6">
      <c r="B92" vm="441">
        <f ca="1"/>
        <v>44872</v>
      </c>
      <c r="C92" vm="442">
        <f ca="1"/>
        <v>247.11</v>
      </c>
      <c r="D92" vm="443">
        <f ca="1"/>
        <v>221.99</v>
      </c>
      <c r="E92" vm="444">
        <f ca="1"/>
        <v>247.99</v>
      </c>
      <c r="F92" vm="445">
        <f ca="1"/>
        <v>221.28</v>
      </c>
    </row>
    <row r="93" spans="2:6">
      <c r="B93" vm="446">
        <f ca="1"/>
        <v>44879</v>
      </c>
      <c r="C93" vm="447">
        <f ca="1"/>
        <v>241.22</v>
      </c>
      <c r="D93" vm="448">
        <f ca="1"/>
        <v>241.98500000000001</v>
      </c>
      <c r="E93" vm="449">
        <f ca="1"/>
        <v>247</v>
      </c>
      <c r="F93" vm="450">
        <f ca="1"/>
        <v>237.63</v>
      </c>
    </row>
    <row r="94" spans="2:6">
      <c r="B94" vm="451">
        <f ca="1"/>
        <v>44886</v>
      </c>
      <c r="C94" vm="452">
        <f ca="1"/>
        <v>247.49</v>
      </c>
      <c r="D94" vm="453">
        <f ca="1"/>
        <v>241.43</v>
      </c>
      <c r="E94" vm="454">
        <f ca="1"/>
        <v>248.7</v>
      </c>
      <c r="F94" vm="455">
        <f ca="1"/>
        <v>240.71</v>
      </c>
    </row>
    <row r="95" spans="2:6">
      <c r="B95" vm="456">
        <f ca="1"/>
        <v>44893</v>
      </c>
      <c r="C95" vm="457">
        <f ca="1"/>
        <v>255.02</v>
      </c>
      <c r="D95" vm="458">
        <f ca="1"/>
        <v>246.08</v>
      </c>
      <c r="E95" vm="459">
        <f ca="1"/>
        <v>256.12</v>
      </c>
      <c r="F95" vm="460">
        <f ca="1"/>
        <v>238.21</v>
      </c>
    </row>
    <row r="96" spans="2:6">
      <c r="B96" vm="461">
        <f ca="1"/>
        <v>44900</v>
      </c>
      <c r="C96" vm="462">
        <f ca="1"/>
        <v>245.42</v>
      </c>
      <c r="D96" vm="463">
        <f ca="1"/>
        <v>252.01</v>
      </c>
      <c r="E96" vm="464">
        <f ca="1"/>
        <v>253.81899999999999</v>
      </c>
      <c r="F96" vm="465">
        <f ca="1"/>
        <v>242.20500000000001</v>
      </c>
    </row>
    <row r="97" spans="2:6">
      <c r="B97" vm="466">
        <f ca="1"/>
        <v>44907</v>
      </c>
      <c r="C97" vm="55">
        <f ca="1"/>
        <v>244.69</v>
      </c>
      <c r="D97" vm="467">
        <f ca="1"/>
        <v>247.44499999999999</v>
      </c>
      <c r="E97" vm="468">
        <f ca="1"/>
        <v>263.91500000000002</v>
      </c>
      <c r="F97" vm="469">
        <f ca="1"/>
        <v>243.51</v>
      </c>
    </row>
    <row r="98" spans="2:6">
      <c r="B98" vm="470">
        <f ca="1"/>
        <v>44914</v>
      </c>
      <c r="C98" vm="471">
        <f ca="1"/>
        <v>238.73</v>
      </c>
      <c r="D98" vm="472">
        <f ca="1"/>
        <v>244.86</v>
      </c>
      <c r="E98" vm="473">
        <f ca="1"/>
        <v>245.61500000000001</v>
      </c>
      <c r="F98" vm="474">
        <f ca="1"/>
        <v>233.87</v>
      </c>
    </row>
    <row r="99" spans="2:6">
      <c r="B99" vm="475">
        <f ca="1"/>
        <v>44922</v>
      </c>
      <c r="C99" vm="476">
        <f ca="1"/>
        <v>239.82</v>
      </c>
      <c r="D99" vm="477">
        <f ca="1"/>
        <v>238.7</v>
      </c>
      <c r="E99" vm="478">
        <f ca="1"/>
        <v>241.92</v>
      </c>
      <c r="F99" vm="479">
        <f ca="1"/>
        <v>234.17</v>
      </c>
    </row>
    <row r="100" spans="2:6">
      <c r="B100" vm="480">
        <f ca="1"/>
        <v>44929</v>
      </c>
      <c r="C100" vm="481">
        <f ca="1"/>
        <v>224.93</v>
      </c>
      <c r="D100" vm="482">
        <f ca="1"/>
        <v>243.08</v>
      </c>
      <c r="E100" vm="483">
        <f ca="1"/>
        <v>245.75</v>
      </c>
      <c r="F100" vm="484">
        <f ca="1"/>
        <v>219.35</v>
      </c>
    </row>
    <row r="101" spans="2:6">
      <c r="B101" vm="485">
        <f ca="1"/>
        <v>44935</v>
      </c>
      <c r="C101" vm="486">
        <f ca="1"/>
        <v>239.23</v>
      </c>
      <c r="D101" vm="487">
        <f ca="1"/>
        <v>226.45</v>
      </c>
      <c r="E101" vm="488">
        <f ca="1"/>
        <v>239.9</v>
      </c>
      <c r="F101" vm="489">
        <f ca="1"/>
        <v>226.41</v>
      </c>
    </row>
    <row r="102" spans="2:6">
      <c r="B102" vm="490">
        <f ca="1"/>
        <v>44943</v>
      </c>
      <c r="C102" vm="491">
        <f ca="1"/>
        <v>240.22</v>
      </c>
      <c r="D102" vm="492">
        <f ca="1"/>
        <v>237.97</v>
      </c>
      <c r="E102" vm="493">
        <f ca="1"/>
        <v>242.38</v>
      </c>
      <c r="F102" vm="494">
        <f ca="1"/>
        <v>230.68</v>
      </c>
    </row>
    <row r="103" spans="2:6">
      <c r="B103" vm="495">
        <f ca="1"/>
        <v>44949</v>
      </c>
      <c r="C103" vm="496">
        <f ca="1"/>
        <v>248.16</v>
      </c>
      <c r="D103" vm="497">
        <f ca="1"/>
        <v>241.1</v>
      </c>
      <c r="E103" vm="498">
        <f ca="1"/>
        <v>249.83</v>
      </c>
      <c r="F103" vm="499">
        <f ca="1"/>
        <v>230.9</v>
      </c>
    </row>
    <row r="104" spans="2:6">
      <c r="B104" vm="500">
        <f ca="1"/>
        <v>44956</v>
      </c>
      <c r="C104" vm="501">
        <f ca="1"/>
        <v>258.35000000000002</v>
      </c>
      <c r="D104" vm="502">
        <f ca="1"/>
        <v>244.51</v>
      </c>
      <c r="E104" vm="503">
        <f ca="1"/>
        <v>264.69</v>
      </c>
      <c r="F104" vm="504">
        <f ca="1"/>
        <v>242.2</v>
      </c>
    </row>
    <row r="105" spans="2:6">
      <c r="B105" vm="505">
        <f ca="1"/>
        <v>44963</v>
      </c>
      <c r="C105" vm="506">
        <f ca="1"/>
        <v>263.10000000000002</v>
      </c>
      <c r="D105" vm="507">
        <f ca="1"/>
        <v>257.44</v>
      </c>
      <c r="E105" vm="508">
        <f ca="1"/>
        <v>276.76</v>
      </c>
      <c r="F105" vm="509">
        <f ca="1"/>
        <v>254.78</v>
      </c>
    </row>
    <row r="106" spans="2:6">
      <c r="B106" vm="510">
        <f ca="1"/>
        <v>44970</v>
      </c>
      <c r="C106" vm="511">
        <f ca="1"/>
        <v>258.06</v>
      </c>
      <c r="D106" vm="512">
        <f ca="1"/>
        <v>267.64</v>
      </c>
      <c r="E106" vm="513">
        <f ca="1"/>
        <v>274.97000000000003</v>
      </c>
      <c r="F106" vm="514">
        <f ca="1"/>
        <v>256</v>
      </c>
    </row>
    <row r="107" spans="2:6">
      <c r="B107" vm="515">
        <f ca="1"/>
        <v>44978</v>
      </c>
      <c r="C107" vm="516">
        <f ca="1"/>
        <v>249.22</v>
      </c>
      <c r="D107" vm="517">
        <f ca="1"/>
        <v>254.48</v>
      </c>
      <c r="E107" vm="518">
        <f ca="1"/>
        <v>256.83999999999997</v>
      </c>
      <c r="F107" vm="519">
        <f ca="1"/>
        <v>248.1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Financial&gt;</vt:lpstr>
      <vt:lpstr>Historical FS</vt:lpstr>
      <vt:lpstr>Forecasting</vt:lpstr>
      <vt:lpstr>Ratio Analysis</vt:lpstr>
      <vt:lpstr>TATA</vt:lpstr>
      <vt:lpstr>ADANI</vt:lpstr>
      <vt:lpstr>DCF</vt:lpstr>
      <vt:lpstr>Data&gt;</vt:lpstr>
      <vt:lpstr>Data Sheet</vt:lpstr>
      <vt:lpstr>Cash Flow Data</vt:lpstr>
      <vt:lpstr>Beta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 HARIZ BIN AMINUDDIN</dc:creator>
  <cp:lastModifiedBy>DANIAL HARIZ BIN AMINUDDIN</cp:lastModifiedBy>
  <dcterms:created xsi:type="dcterms:W3CDTF">2024-12-21T14:08:11Z</dcterms:created>
  <dcterms:modified xsi:type="dcterms:W3CDTF">2025-05-04T05:22:46Z</dcterms:modified>
</cp:coreProperties>
</file>