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ing\C++\Projects\Travelling_Salesman_Problem\"/>
    </mc:Choice>
  </mc:AlternateContent>
  <xr:revisionPtr revIDLastSave="0" documentId="13_ncr:1_{23417C3D-EAF3-44DD-9E07-BD80EBFEC450}" xr6:coauthVersionLast="45" xr6:coauthVersionMax="45" xr10:uidLastSave="{00000000-0000-0000-0000-000000000000}"/>
  <bookViews>
    <workbookView xWindow="-108" yWindow="-108" windowWidth="23256" windowHeight="12576" tabRatio="590" activeTab="1" xr2:uid="{E4D30818-A7C8-4C1C-8BD5-3D517A175CC5}"/>
  </bookViews>
  <sheets>
    <sheet name="47sw (2)" sheetId="14" r:id="rId1"/>
    <sheet name="170sw (2)" sheetId="15" r:id="rId2"/>
    <sheet name="403sw (2)" sheetId="16" r:id="rId3"/>
    <sheet name="Tabu47(2)" sheetId="8" r:id="rId4"/>
    <sheet name="Tabu170 (2)" sheetId="9" r:id="rId5"/>
    <sheet name="Tabu403 (2)" sheetId="10" r:id="rId6"/>
    <sheet name="47sw" sheetId="5" r:id="rId7"/>
    <sheet name="170sw" sheetId="6" r:id="rId8"/>
    <sheet name="403sw" sheetId="7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6" l="1"/>
  <c r="G10" i="16"/>
  <c r="G9" i="16"/>
  <c r="G8" i="16"/>
  <c r="G7" i="16"/>
  <c r="G6" i="16"/>
  <c r="G5" i="16"/>
  <c r="G11" i="15"/>
  <c r="G10" i="15"/>
  <c r="G9" i="15"/>
  <c r="G8" i="15"/>
  <c r="G7" i="15"/>
  <c r="G6" i="15"/>
  <c r="G5" i="15"/>
  <c r="G11" i="14"/>
  <c r="G10" i="14"/>
  <c r="G9" i="14"/>
  <c r="G8" i="14"/>
  <c r="G7" i="14"/>
  <c r="G6" i="14"/>
  <c r="G5" i="14"/>
  <c r="H11" i="16"/>
  <c r="H10" i="16"/>
  <c r="H9" i="16"/>
  <c r="H8" i="16"/>
  <c r="H7" i="16"/>
  <c r="H6" i="16"/>
  <c r="H5" i="16"/>
  <c r="H11" i="15"/>
  <c r="H10" i="15"/>
  <c r="H9" i="15"/>
  <c r="H8" i="15"/>
  <c r="H7" i="15"/>
  <c r="H6" i="15"/>
  <c r="H5" i="15"/>
  <c r="H11" i="14"/>
  <c r="H10" i="14"/>
  <c r="H9" i="14"/>
  <c r="H8" i="14"/>
  <c r="H7" i="14"/>
  <c r="H6" i="14"/>
  <c r="H5" i="14"/>
  <c r="G14" i="7"/>
  <c r="G13" i="7"/>
  <c r="G12" i="7"/>
  <c r="G11" i="7"/>
  <c r="G10" i="7"/>
  <c r="G9" i="7"/>
  <c r="G8" i="7"/>
  <c r="G7" i="7"/>
  <c r="G6" i="7"/>
  <c r="G5" i="7"/>
  <c r="G14" i="6"/>
  <c r="G13" i="6"/>
  <c r="G12" i="6"/>
  <c r="G11" i="6"/>
  <c r="G10" i="6"/>
  <c r="G9" i="6"/>
  <c r="G8" i="6"/>
  <c r="G7" i="6"/>
  <c r="G6" i="6"/>
  <c r="G5" i="6"/>
  <c r="G14" i="5"/>
  <c r="G13" i="5"/>
  <c r="G12" i="5"/>
  <c r="G11" i="5"/>
  <c r="G10" i="5"/>
  <c r="G9" i="5"/>
  <c r="G8" i="5"/>
  <c r="G7" i="5"/>
  <c r="G6" i="5"/>
  <c r="G5" i="5"/>
  <c r="I6" i="9"/>
  <c r="D12" i="10"/>
  <c r="D11" i="10"/>
  <c r="D10" i="10"/>
  <c r="O8" i="10"/>
  <c r="O7" i="10"/>
  <c r="D9" i="10"/>
  <c r="D8" i="10"/>
  <c r="D7" i="10"/>
  <c r="D6" i="10"/>
  <c r="E12" i="10"/>
  <c r="G12" i="10" s="1"/>
  <c r="E10" i="10"/>
  <c r="G10" i="10" s="1"/>
  <c r="E8" i="10"/>
  <c r="E7" i="10"/>
  <c r="G7" i="10" s="1"/>
  <c r="E6" i="10"/>
  <c r="E8" i="9"/>
  <c r="G8" i="9" s="1"/>
  <c r="E7" i="9"/>
  <c r="E6" i="9"/>
  <c r="G6" i="9" s="1"/>
  <c r="G8" i="10"/>
  <c r="G6" i="10"/>
  <c r="G9" i="10"/>
  <c r="G11" i="10"/>
  <c r="E11" i="10"/>
  <c r="E9" i="10"/>
  <c r="D7" i="9"/>
  <c r="E12" i="9"/>
  <c r="G12" i="9" s="1"/>
  <c r="E11" i="9"/>
  <c r="G11" i="9" s="1"/>
  <c r="E10" i="9"/>
  <c r="E9" i="9"/>
  <c r="G9" i="9" s="1"/>
  <c r="G7" i="9"/>
  <c r="Q7" i="9"/>
  <c r="O9" i="9"/>
  <c r="S7" i="9"/>
  <c r="O6" i="9"/>
  <c r="D12" i="9"/>
  <c r="D11" i="9"/>
  <c r="D10" i="9"/>
  <c r="D9" i="9"/>
  <c r="D8" i="9"/>
  <c r="D6" i="9"/>
  <c r="G10" i="9"/>
  <c r="F9" i="8"/>
  <c r="F8" i="8"/>
  <c r="D12" i="8"/>
  <c r="E12" i="8"/>
  <c r="F12" i="8" s="1"/>
  <c r="E11" i="8"/>
  <c r="E10" i="8"/>
  <c r="F10" i="8" s="1"/>
  <c r="E9" i="8"/>
  <c r="E8" i="8"/>
  <c r="E7" i="8"/>
  <c r="E6" i="8"/>
  <c r="F6" i="8" s="1"/>
  <c r="L8" i="8"/>
  <c r="L7" i="8"/>
  <c r="D9" i="8"/>
  <c r="H14" i="7"/>
  <c r="H13" i="7"/>
  <c r="H12" i="7"/>
  <c r="H11" i="7"/>
  <c r="H10" i="7"/>
  <c r="H9" i="7"/>
  <c r="H8" i="7"/>
  <c r="H7" i="7"/>
  <c r="H6" i="7"/>
  <c r="H5" i="7"/>
  <c r="H6" i="6"/>
  <c r="H5" i="6"/>
  <c r="H14" i="6"/>
  <c r="H13" i="6"/>
  <c r="H12" i="6"/>
  <c r="H11" i="6"/>
  <c r="H10" i="6"/>
  <c r="H9" i="6"/>
  <c r="H8" i="6"/>
  <c r="H7" i="6"/>
  <c r="H14" i="5"/>
  <c r="H13" i="5"/>
  <c r="H12" i="5"/>
  <c r="H11" i="5"/>
  <c r="H9" i="5"/>
  <c r="H5" i="5"/>
  <c r="H7" i="5"/>
  <c r="U8" i="10"/>
  <c r="U7" i="10"/>
  <c r="U6" i="10"/>
  <c r="S8" i="10"/>
  <c r="S7" i="10"/>
  <c r="S6" i="10"/>
  <c r="Q8" i="10"/>
  <c r="Q7" i="10"/>
  <c r="Q6" i="10"/>
  <c r="O6" i="10"/>
  <c r="M8" i="10"/>
  <c r="M7" i="10"/>
  <c r="M6" i="10"/>
  <c r="K8" i="10"/>
  <c r="K7" i="10"/>
  <c r="K6" i="10"/>
  <c r="I8" i="10"/>
  <c r="I7" i="10"/>
  <c r="I6" i="10"/>
  <c r="U8" i="9"/>
  <c r="Q8" i="9"/>
  <c r="J6" i="8"/>
  <c r="I9" i="9"/>
  <c r="I8" i="9"/>
  <c r="I7" i="9"/>
  <c r="K7" i="9"/>
  <c r="O7" i="9"/>
  <c r="U7" i="9"/>
  <c r="U6" i="9"/>
  <c r="S8" i="9"/>
  <c r="S6" i="9"/>
  <c r="Q6" i="9"/>
  <c r="K9" i="9"/>
  <c r="M7" i="9"/>
  <c r="O8" i="9"/>
  <c r="M8" i="9"/>
  <c r="M6" i="9"/>
  <c r="K8" i="9"/>
  <c r="K6" i="9"/>
  <c r="V8" i="8"/>
  <c r="T8" i="8"/>
  <c r="V7" i="8"/>
  <c r="V6" i="8"/>
  <c r="V5" i="8"/>
  <c r="T7" i="8"/>
  <c r="R8" i="8"/>
  <c r="R6" i="8"/>
  <c r="P5" i="8"/>
  <c r="R7" i="8"/>
  <c r="R5" i="8"/>
  <c r="P6" i="8"/>
  <c r="P8" i="8"/>
  <c r="P7" i="8"/>
  <c r="N8" i="8"/>
  <c r="N5" i="8"/>
  <c r="D8" i="8" s="1"/>
  <c r="N6" i="8"/>
  <c r="N7" i="8"/>
  <c r="L6" i="8"/>
  <c r="J5" i="8"/>
  <c r="D7" i="8"/>
  <c r="L5" i="8"/>
  <c r="J8" i="8"/>
  <c r="J7" i="8"/>
  <c r="F11" i="8"/>
  <c r="D10" i="8"/>
  <c r="F7" i="8"/>
  <c r="D6" i="8" l="1"/>
  <c r="D11" i="8"/>
  <c r="H10" i="5"/>
  <c r="H8" i="5"/>
  <c r="H6" i="5"/>
</calcChain>
</file>

<file path=xl/sharedStrings.xml><?xml version="1.0" encoding="utf-8"?>
<sst xmlns="http://schemas.openxmlformats.org/spreadsheetml/2006/main" count="106" uniqueCount="60">
  <si>
    <t>Sr czas</t>
  </si>
  <si>
    <t>najkr znaleziona</t>
  </si>
  <si>
    <t>blad</t>
  </si>
  <si>
    <t xml:space="preserve">optim </t>
  </si>
  <si>
    <t>droga</t>
  </si>
  <si>
    <t xml:space="preserve">opt </t>
  </si>
  <si>
    <t>opt</t>
  </si>
  <si>
    <t>Temperatura początkowa</t>
  </si>
  <si>
    <t>Temperatura chłodzenia</t>
  </si>
  <si>
    <t>Temperatura minimalna</t>
  </si>
  <si>
    <t>Długość najkrótszej trasy</t>
  </si>
  <si>
    <t>Czas pracy</t>
  </si>
  <si>
    <t>1.92936e-05</t>
  </si>
  <si>
    <t>2.06399e-05</t>
  </si>
  <si>
    <t>2.91817e-05</t>
  </si>
  <si>
    <t>2.17891e-05</t>
  </si>
  <si>
    <t>2.43719e-05</t>
  </si>
  <si>
    <t>2.66627e-05</t>
  </si>
  <si>
    <t>2.86297e-05</t>
  </si>
  <si>
    <t>3.02592e-05</t>
  </si>
  <si>
    <t>1.768e-05</t>
  </si>
  <si>
    <t>2.06332e-05</t>
  </si>
  <si>
    <t>2.05421e-05</t>
  </si>
  <si>
    <t>2.54123e-05</t>
  </si>
  <si>
    <t>3.04549e-05</t>
  </si>
  <si>
    <t>2.8431e-05</t>
  </si>
  <si>
    <t>2.92941e-05</t>
  </si>
  <si>
    <t>2.97699e-05</t>
  </si>
  <si>
    <t>2.9902e-05</t>
  </si>
  <si>
    <t>3.04966e-05</t>
  </si>
  <si>
    <t>1.9684e-05</t>
  </si>
  <si>
    <t>2.2972e-05</t>
  </si>
  <si>
    <t>2.28705e-05</t>
  </si>
  <si>
    <t>2.82928e-05</t>
  </si>
  <si>
    <t>2.54303e-05</t>
  </si>
  <si>
    <t>2.53229e-05</t>
  </si>
  <si>
    <t>2.77224e-05</t>
  </si>
  <si>
    <t>2.98299e-05</t>
  </si>
  <si>
    <t>3.00455e-05</t>
  </si>
  <si>
    <t>3.05063e-05</t>
  </si>
  <si>
    <t>blad %</t>
  </si>
  <si>
    <t>Sr czas [s]</t>
  </si>
  <si>
    <t>max czas [s]</t>
  </si>
  <si>
    <t>Czas pracy [s]</t>
  </si>
  <si>
    <t>Czas znalezienia [s]</t>
  </si>
  <si>
    <t>Czas pracy []</t>
  </si>
  <si>
    <t>s</t>
  </si>
  <si>
    <t>2.46539e-321</t>
  </si>
  <si>
    <t>2.46539e-322</t>
  </si>
  <si>
    <t>2.46539e-323</t>
  </si>
  <si>
    <t>2.46539e-324</t>
  </si>
  <si>
    <t>2.46539e-325</t>
  </si>
  <si>
    <t>1.18576e-322</t>
  </si>
  <si>
    <t xml:space="preserve"> 1.18576e-322</t>
  </si>
  <si>
    <t>1.18576e-323</t>
  </si>
  <si>
    <t>1.18576e-324</t>
  </si>
  <si>
    <t>1.18576e-325</t>
  </si>
  <si>
    <t>1.18576e-326</t>
  </si>
  <si>
    <t>1.18576e-327</t>
  </si>
  <si>
    <t>1.18576e-328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</si>
</sst>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 (2)'!$G$5:$G$11</c:f>
              <c:numCache>
                <c:formatCode>0.000000</c:formatCode>
                <c:ptCount val="7"/>
                <c:pt idx="0">
                  <c:v>29.99727</c:v>
                </c:pt>
                <c:pt idx="1">
                  <c:v>59.978656999999998</c:v>
                </c:pt>
                <c:pt idx="2">
                  <c:v>119.99582100000001</c:v>
                </c:pt>
                <c:pt idx="3">
                  <c:v>179.978409</c:v>
                </c:pt>
                <c:pt idx="4">
                  <c:v>239.98924400000001</c:v>
                </c:pt>
                <c:pt idx="5">
                  <c:v>299.99885599999999</c:v>
                </c:pt>
                <c:pt idx="6">
                  <c:v>359.99749700000001</c:v>
                </c:pt>
              </c:numCache>
            </c:numRef>
          </c:cat>
          <c:val>
            <c:numRef>
              <c:f>'47sw (2)'!$H$5:$H$11</c:f>
              <c:numCache>
                <c:formatCode>General</c:formatCode>
                <c:ptCount val="7"/>
                <c:pt idx="0">
                  <c:v>45.382882882882889</c:v>
                </c:pt>
                <c:pt idx="1">
                  <c:v>44.313063063063062</c:v>
                </c:pt>
                <c:pt idx="2">
                  <c:v>29.335585585585584</c:v>
                </c:pt>
                <c:pt idx="3">
                  <c:v>29.560810810810811</c:v>
                </c:pt>
                <c:pt idx="4">
                  <c:v>24.099099099099099</c:v>
                </c:pt>
                <c:pt idx="5">
                  <c:v>27.13963963963964</c:v>
                </c:pt>
                <c:pt idx="6">
                  <c:v>23.47972972972973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8-4688-BFCC-565AA34D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37792"/>
        <c:axId val="637336152"/>
      </c:lineChart>
      <c:catAx>
        <c:axId val="6373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36152"/>
        <c:crosses val="autoZero"/>
        <c:auto val="1"/>
        <c:lblAlgn val="ctr"/>
        <c:lblOffset val="100"/>
        <c:noMultiLvlLbl val="0"/>
      </c:catAx>
      <c:valAx>
        <c:axId val="6373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Bląd wzgłędny(TS)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'Tabu47(2)'!$D$6:$D$12</c:f>
              <c:numCache>
                <c:formatCode>General</c:formatCode>
                <c:ptCount val="7"/>
                <c:pt idx="0">
                  <c:v>17.0281725</c:v>
                </c:pt>
                <c:pt idx="1">
                  <c:v>26.316925749999999</c:v>
                </c:pt>
                <c:pt idx="2">
                  <c:v>50.828151750000004</c:v>
                </c:pt>
                <c:pt idx="3">
                  <c:v>57.967173500000001</c:v>
                </c:pt>
                <c:pt idx="4">
                  <c:v>108.06875825</c:v>
                </c:pt>
                <c:pt idx="5">
                  <c:v>190.11321124999998</c:v>
                </c:pt>
                <c:pt idx="6">
                  <c:v>239.5880085</c:v>
                </c:pt>
              </c:numCache>
            </c:numRef>
          </c:cat>
          <c:val>
            <c:numRef>
              <c:f>'Tabu47(2)'!$F$6:$F$12</c:f>
              <c:numCache>
                <c:formatCode>General</c:formatCode>
                <c:ptCount val="7"/>
                <c:pt idx="0">
                  <c:v>19.313063063063062</c:v>
                </c:pt>
                <c:pt idx="1">
                  <c:v>14.695945945945946</c:v>
                </c:pt>
                <c:pt idx="2">
                  <c:v>10.641891891891891</c:v>
                </c:pt>
                <c:pt idx="3">
                  <c:v>14.695945945945946</c:v>
                </c:pt>
                <c:pt idx="4">
                  <c:v>10.641891891891891</c:v>
                </c:pt>
                <c:pt idx="5">
                  <c:v>15.371621621621623</c:v>
                </c:pt>
                <c:pt idx="6">
                  <c:v>13.288288288288289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4-4E18-98CD-C2FB8B10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13952"/>
        <c:axId val="640313624"/>
      </c:lineChart>
      <c:catAx>
        <c:axId val="64031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znaliezienia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13624"/>
        <c:crosses val="autoZero"/>
        <c:auto val="1"/>
        <c:lblAlgn val="ctr"/>
        <c:lblOffset val="100"/>
        <c:noMultiLvlLbl val="0"/>
      </c:catAx>
      <c:valAx>
        <c:axId val="6403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</a:t>
            </a:r>
            <a:r>
              <a:rPr lang="en-US"/>
              <a:t>zas</a:t>
            </a:r>
            <a:r>
              <a:rPr lang="pl-PL"/>
              <a:t>(TS)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'Tabu47(2)'!$C$6:$C$12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'Tabu47(2)'!$D$6:$D$12</c:f>
              <c:numCache>
                <c:formatCode>General</c:formatCode>
                <c:ptCount val="7"/>
                <c:pt idx="0">
                  <c:v>17.0281725</c:v>
                </c:pt>
                <c:pt idx="1">
                  <c:v>26.316925749999999</c:v>
                </c:pt>
                <c:pt idx="2">
                  <c:v>50.828151750000004</c:v>
                </c:pt>
                <c:pt idx="3">
                  <c:v>57.967173500000001</c:v>
                </c:pt>
                <c:pt idx="4">
                  <c:v>108.06875825</c:v>
                </c:pt>
                <c:pt idx="5">
                  <c:v>190.11321124999998</c:v>
                </c:pt>
                <c:pt idx="6">
                  <c:v>239.5880085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542-BCAD-272B9E99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53568"/>
        <c:axId val="550359472"/>
      </c:lineChart>
      <c:catAx>
        <c:axId val="55035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59472"/>
        <c:crosses val="autoZero"/>
        <c:auto val="1"/>
        <c:lblAlgn val="ctr"/>
        <c:lblOffset val="100"/>
        <c:noMultiLvlLbl val="0"/>
      </c:catAx>
      <c:valAx>
        <c:axId val="550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znalezienia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'Tabu47(2)'!$C$6:$C$12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'Tabu47(2)'!$E$6:$E$12</c:f>
              <c:numCache>
                <c:formatCode>General</c:formatCode>
                <c:ptCount val="7"/>
                <c:pt idx="0">
                  <c:v>2119</c:v>
                </c:pt>
                <c:pt idx="1">
                  <c:v>2037</c:v>
                </c:pt>
                <c:pt idx="2">
                  <c:v>1965</c:v>
                </c:pt>
                <c:pt idx="3">
                  <c:v>2037</c:v>
                </c:pt>
                <c:pt idx="4">
                  <c:v>1965</c:v>
                </c:pt>
                <c:pt idx="5">
                  <c:v>2049</c:v>
                </c:pt>
                <c:pt idx="6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5-4D84-8746-2FAD5644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855808"/>
        <c:axId val="544859088"/>
      </c:lineChart>
      <c:catAx>
        <c:axId val="5448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59088"/>
        <c:crosses val="autoZero"/>
        <c:auto val="1"/>
        <c:lblAlgn val="ctr"/>
        <c:lblOffset val="100"/>
        <c:noMultiLvlLbl val="0"/>
      </c:catAx>
      <c:valAx>
        <c:axId val="5448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Bląd wzgłędny(TS)</a:t>
            </a:r>
            <a:endParaRPr lang="pl-PL" sz="18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'Tabu170 (2)'!$D$6:$D$12</c:f>
              <c:numCache>
                <c:formatCode>General</c:formatCode>
                <c:ptCount val="7"/>
                <c:pt idx="0">
                  <c:v>6.4584207499999993</c:v>
                </c:pt>
                <c:pt idx="1">
                  <c:v>13.263025333333331</c:v>
                </c:pt>
                <c:pt idx="2">
                  <c:v>20.528912000000002</c:v>
                </c:pt>
                <c:pt idx="3">
                  <c:v>28.290519250000003</c:v>
                </c:pt>
                <c:pt idx="4">
                  <c:v>29.358504999999997</c:v>
                </c:pt>
                <c:pt idx="5">
                  <c:v>32.545313999999998</c:v>
                </c:pt>
                <c:pt idx="6">
                  <c:v>63.491763666666664</c:v>
                </c:pt>
              </c:numCache>
            </c:numRef>
          </c:cat>
          <c:val>
            <c:numRef>
              <c:f>'Tabu170 (2)'!$G$6:$G$12</c:f>
              <c:numCache>
                <c:formatCode>General</c:formatCode>
                <c:ptCount val="7"/>
                <c:pt idx="0">
                  <c:v>82.10526315789474</c:v>
                </c:pt>
                <c:pt idx="1">
                  <c:v>79.818511796733219</c:v>
                </c:pt>
                <c:pt idx="2">
                  <c:v>76.878402903811249</c:v>
                </c:pt>
                <c:pt idx="3">
                  <c:v>75.172413793103445</c:v>
                </c:pt>
                <c:pt idx="4">
                  <c:v>76.588021778584391</c:v>
                </c:pt>
                <c:pt idx="5">
                  <c:v>80.83484573502723</c:v>
                </c:pt>
                <c:pt idx="6">
                  <c:v>32.558983666061707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0-4312-87E7-8C18CE2E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62320"/>
        <c:axId val="484765928"/>
      </c:lineChart>
      <c:catAx>
        <c:axId val="4847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znalezienia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765928"/>
        <c:crosses val="autoZero"/>
        <c:auto val="1"/>
        <c:lblAlgn val="ctr"/>
        <c:lblOffset val="100"/>
        <c:noMultiLvlLbl val="0"/>
      </c:catAx>
      <c:valAx>
        <c:axId val="4847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7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(TS)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Czas(TS)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'Tabu170 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'Tabu170 (2)'!$D$6:$D$12</c:f>
              <c:numCache>
                <c:formatCode>General</c:formatCode>
                <c:ptCount val="7"/>
                <c:pt idx="0">
                  <c:v>6.4584207499999993</c:v>
                </c:pt>
                <c:pt idx="1">
                  <c:v>13.263025333333331</c:v>
                </c:pt>
                <c:pt idx="2">
                  <c:v>20.528912000000002</c:v>
                </c:pt>
                <c:pt idx="3">
                  <c:v>28.290519250000003</c:v>
                </c:pt>
                <c:pt idx="4">
                  <c:v>29.358504999999997</c:v>
                </c:pt>
                <c:pt idx="5">
                  <c:v>32.545313999999998</c:v>
                </c:pt>
                <c:pt idx="6">
                  <c:v>63.491763666666664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E-4AFC-B5FB-A2577C0E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26248"/>
        <c:axId val="638523952"/>
      </c:lineChart>
      <c:catAx>
        <c:axId val="6385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[s]</a:t>
                </a:r>
              </a:p>
            </c:rich>
          </c:tx>
          <c:layout>
            <c:manualLayout>
              <c:xMode val="edge"/>
              <c:yMode val="edge"/>
              <c:x val="0.4532902933875475"/>
              <c:y val="0.8734056069078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523952"/>
        <c:crosses val="autoZero"/>
        <c:auto val="1"/>
        <c:lblAlgn val="ctr"/>
        <c:lblOffset val="100"/>
        <c:noMultiLvlLbl val="0"/>
      </c:catAx>
      <c:valAx>
        <c:axId val="6385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znalezienia[s]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5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Ścieżki(TS)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'Tabu170 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'Tabu170 (2)'!$E$6:$E$12</c:f>
              <c:numCache>
                <c:formatCode>General</c:formatCode>
                <c:ptCount val="7"/>
                <c:pt idx="0">
                  <c:v>5017</c:v>
                </c:pt>
                <c:pt idx="1">
                  <c:v>4954</c:v>
                </c:pt>
                <c:pt idx="2">
                  <c:v>4873</c:v>
                </c:pt>
                <c:pt idx="3">
                  <c:v>4826</c:v>
                </c:pt>
                <c:pt idx="4">
                  <c:v>4865</c:v>
                </c:pt>
                <c:pt idx="5">
                  <c:v>4982</c:v>
                </c:pt>
                <c:pt idx="6">
                  <c:v>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B-4EFC-B379-CA4A361B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26976"/>
        <c:axId val="536970064"/>
      </c:lineChart>
      <c:catAx>
        <c:axId val="6350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[s]</a:t>
                </a:r>
              </a:p>
            </c:rich>
          </c:tx>
          <c:layout>
            <c:manualLayout>
              <c:xMode val="edge"/>
              <c:yMode val="edge"/>
              <c:x val="0.4681492862172717"/>
              <c:y val="0.8737714866566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70064"/>
        <c:crosses val="autoZero"/>
        <c:auto val="1"/>
        <c:lblAlgn val="ctr"/>
        <c:lblOffset val="100"/>
        <c:noMultiLvlLbl val="0"/>
      </c:catAx>
      <c:valAx>
        <c:axId val="536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wzgłędny(TS)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'Tabu403 (2)'!$D$6:$D$12</c:f>
              <c:numCache>
                <c:formatCode>General</c:formatCode>
                <c:ptCount val="7"/>
                <c:pt idx="0">
                  <c:v>29.537668666666672</c:v>
                </c:pt>
                <c:pt idx="1">
                  <c:v>29.537668666666672</c:v>
                </c:pt>
                <c:pt idx="2">
                  <c:v>48.890340333333334</c:v>
                </c:pt>
                <c:pt idx="3">
                  <c:v>48.415146666666665</c:v>
                </c:pt>
                <c:pt idx="4">
                  <c:v>48.053533666666659</c:v>
                </c:pt>
                <c:pt idx="5">
                  <c:v>52.921951999999997</c:v>
                </c:pt>
                <c:pt idx="6">
                  <c:v>339.14298533333334</c:v>
                </c:pt>
              </c:numCache>
            </c:numRef>
          </c:cat>
          <c:val>
            <c:numRef>
              <c:f>'Tabu403 (2)'!$G$6:$G$12</c:f>
              <c:numCache>
                <c:formatCode>General</c:formatCode>
                <c:ptCount val="7"/>
                <c:pt idx="0">
                  <c:v>14.158215010141989</c:v>
                </c:pt>
                <c:pt idx="1">
                  <c:v>13.022312373225153</c:v>
                </c:pt>
                <c:pt idx="2">
                  <c:v>13.022312373225153</c:v>
                </c:pt>
                <c:pt idx="3">
                  <c:v>13.022312373225153</c:v>
                </c:pt>
                <c:pt idx="4">
                  <c:v>13.022312373225153</c:v>
                </c:pt>
                <c:pt idx="5">
                  <c:v>13.022312373225153</c:v>
                </c:pt>
                <c:pt idx="6">
                  <c:v>12.81947261663286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0-4C0B-AFE9-2D44D24F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57504"/>
        <c:axId val="550360128"/>
      </c:lineChart>
      <c:catAx>
        <c:axId val="5503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znalezienia</a:t>
                </a:r>
                <a:r>
                  <a:rPr lang="pl-PL" baseline="0"/>
                  <a:t> </a:t>
                </a:r>
                <a:r>
                  <a:rPr lang="pl-PL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0128"/>
        <c:crosses val="autoZero"/>
        <c:auto val="1"/>
        <c:lblAlgn val="ctr"/>
        <c:lblOffset val="100"/>
        <c:noMultiLvlLbl val="0"/>
      </c:catAx>
      <c:valAx>
        <c:axId val="5503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'Tabu403 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'Tabu403 (2)'!$D$6:$D$12</c:f>
              <c:numCache>
                <c:formatCode>General</c:formatCode>
                <c:ptCount val="7"/>
                <c:pt idx="0">
                  <c:v>29.537668666666672</c:v>
                </c:pt>
                <c:pt idx="1">
                  <c:v>29.537668666666672</c:v>
                </c:pt>
                <c:pt idx="2">
                  <c:v>48.890340333333334</c:v>
                </c:pt>
                <c:pt idx="3">
                  <c:v>48.415146666666665</c:v>
                </c:pt>
                <c:pt idx="4">
                  <c:v>48.053533666666659</c:v>
                </c:pt>
                <c:pt idx="5">
                  <c:v>52.921951999999997</c:v>
                </c:pt>
                <c:pt idx="6">
                  <c:v>339.14298533333334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BEF-A558-45C0E71F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53240"/>
        <c:axId val="550358160"/>
      </c:lineChart>
      <c:catAx>
        <c:axId val="55035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58160"/>
        <c:crosses val="autoZero"/>
        <c:auto val="1"/>
        <c:lblAlgn val="ctr"/>
        <c:lblOffset val="100"/>
        <c:noMultiLvlLbl val="0"/>
      </c:catAx>
      <c:valAx>
        <c:axId val="55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znaleziania[s]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5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'Tabu403 (2)'!$C$6:$C$12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cat>
          <c:val>
            <c:numRef>
              <c:f>'Tabu403 (2)'!$E$6:$E$12</c:f>
              <c:numCache>
                <c:formatCode>General</c:formatCode>
                <c:ptCount val="7"/>
                <c:pt idx="0">
                  <c:v>2814</c:v>
                </c:pt>
                <c:pt idx="1">
                  <c:v>2786</c:v>
                </c:pt>
                <c:pt idx="2">
                  <c:v>2786</c:v>
                </c:pt>
                <c:pt idx="3">
                  <c:v>2786</c:v>
                </c:pt>
                <c:pt idx="4">
                  <c:v>2786</c:v>
                </c:pt>
                <c:pt idx="5">
                  <c:v>2786</c:v>
                </c:pt>
                <c:pt idx="6">
                  <c:v>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FDD-842E-1D2EE36F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63736"/>
        <c:axId val="550368984"/>
      </c:lineChart>
      <c:catAx>
        <c:axId val="55036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8984"/>
        <c:crosses val="autoZero"/>
        <c:auto val="1"/>
        <c:lblAlgn val="ctr"/>
        <c:lblOffset val="100"/>
        <c:noMultiLvlLbl val="0"/>
      </c:catAx>
      <c:valAx>
        <c:axId val="5503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'47sw'!$G$5:$G$14</c:f>
              <c:numCache>
                <c:formatCode>0.000000</c:formatCode>
                <c:ptCount val="10"/>
                <c:pt idx="0">
                  <c:v>1.39E-3</c:v>
                </c:pt>
                <c:pt idx="1">
                  <c:v>1.127E-3</c:v>
                </c:pt>
                <c:pt idx="2">
                  <c:v>1.513E-3</c:v>
                </c:pt>
                <c:pt idx="3">
                  <c:v>1.5449999999999999E-3</c:v>
                </c:pt>
                <c:pt idx="4">
                  <c:v>1.786E-3</c:v>
                </c:pt>
                <c:pt idx="5">
                  <c:v>2.2880000000000001E-3</c:v>
                </c:pt>
                <c:pt idx="6">
                  <c:v>3.9020000000000001E-3</c:v>
                </c:pt>
                <c:pt idx="7">
                  <c:v>4.5399999999999998E-3</c:v>
                </c:pt>
                <c:pt idx="8">
                  <c:v>9.2329999999999999E-3</c:v>
                </c:pt>
                <c:pt idx="9">
                  <c:v>0.49784299999999998</c:v>
                </c:pt>
              </c:numCache>
            </c:numRef>
          </c:cat>
          <c:val>
            <c:numRef>
              <c:f>'47sw'!$H$5:$H$14</c:f>
              <c:numCache>
                <c:formatCode>General</c:formatCode>
                <c:ptCount val="10"/>
                <c:pt idx="0">
                  <c:v>215.37162162162161</c:v>
                </c:pt>
                <c:pt idx="1">
                  <c:v>205.74324324324326</c:v>
                </c:pt>
                <c:pt idx="2">
                  <c:v>196.67792792792793</c:v>
                </c:pt>
                <c:pt idx="3">
                  <c:v>196.90315315315314</c:v>
                </c:pt>
                <c:pt idx="4">
                  <c:v>191.38513513513513</c:v>
                </c:pt>
                <c:pt idx="5">
                  <c:v>178.99774774774775</c:v>
                </c:pt>
                <c:pt idx="6">
                  <c:v>172.01576576576576</c:v>
                </c:pt>
                <c:pt idx="7">
                  <c:v>155.2927927927928</c:v>
                </c:pt>
                <c:pt idx="8">
                  <c:v>139.97747747747749</c:v>
                </c:pt>
                <c:pt idx="9">
                  <c:v>53.772522522522529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69D-A569-758722EC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37792"/>
        <c:axId val="637336152"/>
      </c:lineChart>
      <c:catAx>
        <c:axId val="6373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36152"/>
        <c:crosses val="autoZero"/>
        <c:auto val="1"/>
        <c:lblAlgn val="ctr"/>
        <c:lblOffset val="100"/>
        <c:noMultiLvlLbl val="0"/>
      </c:catAx>
      <c:valAx>
        <c:axId val="6373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'47sw (2)'!$G$5:$G$11</c:f>
              <c:numCache>
                <c:formatCode>0.000000</c:formatCode>
                <c:ptCount val="7"/>
                <c:pt idx="0">
                  <c:v>29.99727</c:v>
                </c:pt>
                <c:pt idx="1">
                  <c:v>59.978656999999998</c:v>
                </c:pt>
                <c:pt idx="2">
                  <c:v>119.99582100000001</c:v>
                </c:pt>
                <c:pt idx="3">
                  <c:v>179.978409</c:v>
                </c:pt>
                <c:pt idx="4">
                  <c:v>239.98924400000001</c:v>
                </c:pt>
                <c:pt idx="5">
                  <c:v>299.99885599999999</c:v>
                </c:pt>
                <c:pt idx="6">
                  <c:v>359.99749700000001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A-4A0F-9636-3998BFE1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66032"/>
        <c:axId val="550368656"/>
      </c:lineChart>
      <c:catAx>
        <c:axId val="5503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8656"/>
        <c:crosses val="autoZero"/>
        <c:auto val="1"/>
        <c:lblAlgn val="ctr"/>
        <c:lblOffset val="100"/>
        <c:noMultiLvlLbl val="0"/>
      </c:catAx>
      <c:valAx>
        <c:axId val="550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'47sw'!$G$5:$G$14</c:f>
              <c:numCache>
                <c:formatCode>0.000000</c:formatCode>
                <c:ptCount val="10"/>
                <c:pt idx="0">
                  <c:v>1.39E-3</c:v>
                </c:pt>
                <c:pt idx="1">
                  <c:v>1.127E-3</c:v>
                </c:pt>
                <c:pt idx="2">
                  <c:v>1.513E-3</c:v>
                </c:pt>
                <c:pt idx="3">
                  <c:v>1.5449999999999999E-3</c:v>
                </c:pt>
                <c:pt idx="4">
                  <c:v>1.786E-3</c:v>
                </c:pt>
                <c:pt idx="5">
                  <c:v>2.2880000000000001E-3</c:v>
                </c:pt>
                <c:pt idx="6">
                  <c:v>3.9020000000000001E-3</c:v>
                </c:pt>
                <c:pt idx="7">
                  <c:v>4.5399999999999998E-3</c:v>
                </c:pt>
                <c:pt idx="8">
                  <c:v>9.2329999999999999E-3</c:v>
                </c:pt>
                <c:pt idx="9">
                  <c:v>0.49784299999999998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4C76-ACCE-647A8AF8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66032"/>
        <c:axId val="550368656"/>
      </c:lineChart>
      <c:catAx>
        <c:axId val="5503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8656"/>
        <c:crosses val="autoZero"/>
        <c:auto val="1"/>
        <c:lblAlgn val="ctr"/>
        <c:lblOffset val="100"/>
        <c:noMultiLvlLbl val="0"/>
      </c:catAx>
      <c:valAx>
        <c:axId val="550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  <a:r>
              <a:rPr lang="pl-PL" baseline="0"/>
              <a:t>(SW)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'47sw'!$F$5:$F$14</c:f>
              <c:numCache>
                <c:formatCode>0.00</c:formatCode>
                <c:ptCount val="10"/>
                <c:pt idx="0">
                  <c:v>5601</c:v>
                </c:pt>
                <c:pt idx="1">
                  <c:v>5430</c:v>
                </c:pt>
                <c:pt idx="2">
                  <c:v>5269</c:v>
                </c:pt>
                <c:pt idx="3">
                  <c:v>5273</c:v>
                </c:pt>
                <c:pt idx="4">
                  <c:v>5175</c:v>
                </c:pt>
                <c:pt idx="5">
                  <c:v>4955</c:v>
                </c:pt>
                <c:pt idx="6" formatCode="General">
                  <c:v>4831</c:v>
                </c:pt>
                <c:pt idx="7" formatCode="General">
                  <c:v>4534</c:v>
                </c:pt>
                <c:pt idx="8" formatCode="General">
                  <c:v>4262</c:v>
                </c:pt>
                <c:pt idx="9" formatCode="General">
                  <c:v>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4867-9C08-B64EF88F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29888"/>
        <c:axId val="482727920"/>
      </c:lineChart>
      <c:catAx>
        <c:axId val="4827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27920"/>
        <c:crosses val="autoZero"/>
        <c:auto val="1"/>
        <c:lblAlgn val="ctr"/>
        <c:lblOffset val="100"/>
        <c:noMultiLvlLbl val="0"/>
      </c:catAx>
      <c:valAx>
        <c:axId val="482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'170sw'!$G$5:$G$14</c:f>
              <c:numCache>
                <c:formatCode>0.000000</c:formatCode>
                <c:ptCount val="10"/>
                <c:pt idx="0">
                  <c:v>2.3210000000000001E-3</c:v>
                </c:pt>
                <c:pt idx="1">
                  <c:v>2.6450000000000002E-3</c:v>
                </c:pt>
                <c:pt idx="2">
                  <c:v>2.8960000000000001E-3</c:v>
                </c:pt>
                <c:pt idx="3">
                  <c:v>3.2290000000000001E-3</c:v>
                </c:pt>
                <c:pt idx="4">
                  <c:v>4.6090000000000002E-3</c:v>
                </c:pt>
                <c:pt idx="5">
                  <c:v>5.4019999999999997E-3</c:v>
                </c:pt>
                <c:pt idx="6">
                  <c:v>8.4880000000000008E-3</c:v>
                </c:pt>
                <c:pt idx="7">
                  <c:v>1.0777999999999999E-2</c:v>
                </c:pt>
                <c:pt idx="8">
                  <c:v>2.4735E-2</c:v>
                </c:pt>
                <c:pt idx="9">
                  <c:v>1.4309689999999999</c:v>
                </c:pt>
              </c:numCache>
            </c:numRef>
          </c:cat>
          <c:val>
            <c:numRef>
              <c:f>'170sw'!$H$5:$H$14</c:f>
              <c:numCache>
                <c:formatCode>General</c:formatCode>
                <c:ptCount val="10"/>
                <c:pt idx="0">
                  <c:v>434.11978221415603</c:v>
                </c:pt>
                <c:pt idx="1">
                  <c:v>430.78039927404717</c:v>
                </c:pt>
                <c:pt idx="2">
                  <c:v>419.92740471869325</c:v>
                </c:pt>
                <c:pt idx="3">
                  <c:v>481.74228675136118</c:v>
                </c:pt>
                <c:pt idx="4">
                  <c:v>513.24863883847547</c:v>
                </c:pt>
                <c:pt idx="5">
                  <c:v>540.18148820326678</c:v>
                </c:pt>
                <c:pt idx="6">
                  <c:v>643.30308529945557</c:v>
                </c:pt>
                <c:pt idx="7">
                  <c:v>662.39564428312156</c:v>
                </c:pt>
                <c:pt idx="8">
                  <c:v>622.68602540834843</c:v>
                </c:pt>
                <c:pt idx="9">
                  <c:v>228.71143375680583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8-4A0E-94AD-FCAC8213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27952"/>
        <c:axId val="474625328"/>
      </c:lineChart>
      <c:catAx>
        <c:axId val="4746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25328"/>
        <c:crosses val="autoZero"/>
        <c:auto val="1"/>
        <c:lblAlgn val="ctr"/>
        <c:lblOffset val="100"/>
        <c:noMultiLvlLbl val="0"/>
      </c:catAx>
      <c:valAx>
        <c:axId val="4746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'170sw'!$G$5:$G$14</c:f>
              <c:numCache>
                <c:formatCode>0.000000</c:formatCode>
                <c:ptCount val="10"/>
                <c:pt idx="0">
                  <c:v>2.3210000000000001E-3</c:v>
                </c:pt>
                <c:pt idx="1">
                  <c:v>2.6450000000000002E-3</c:v>
                </c:pt>
                <c:pt idx="2">
                  <c:v>2.8960000000000001E-3</c:v>
                </c:pt>
                <c:pt idx="3">
                  <c:v>3.2290000000000001E-3</c:v>
                </c:pt>
                <c:pt idx="4">
                  <c:v>4.6090000000000002E-3</c:v>
                </c:pt>
                <c:pt idx="5">
                  <c:v>5.4019999999999997E-3</c:v>
                </c:pt>
                <c:pt idx="6">
                  <c:v>8.4880000000000008E-3</c:v>
                </c:pt>
                <c:pt idx="7">
                  <c:v>1.0777999999999999E-2</c:v>
                </c:pt>
                <c:pt idx="8">
                  <c:v>2.4735E-2</c:v>
                </c:pt>
                <c:pt idx="9">
                  <c:v>1.4309689999999999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E-4FB0-8BE9-CD6C43D7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25760"/>
        <c:axId val="640321496"/>
      </c:lineChart>
      <c:catAx>
        <c:axId val="6403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1496"/>
        <c:crosses val="autoZero"/>
        <c:auto val="1"/>
        <c:lblAlgn val="ctr"/>
        <c:lblOffset val="100"/>
        <c:noMultiLvlLbl val="0"/>
      </c:catAx>
      <c:valAx>
        <c:axId val="6403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'170sw'!$F$5:$F$14</c:f>
              <c:numCache>
                <c:formatCode>0.00</c:formatCode>
                <c:ptCount val="10"/>
                <c:pt idx="0">
                  <c:v>14715</c:v>
                </c:pt>
                <c:pt idx="1">
                  <c:v>14623</c:v>
                </c:pt>
                <c:pt idx="2">
                  <c:v>14324</c:v>
                </c:pt>
                <c:pt idx="3">
                  <c:v>16027</c:v>
                </c:pt>
                <c:pt idx="4">
                  <c:v>16895</c:v>
                </c:pt>
                <c:pt idx="5">
                  <c:v>17637</c:v>
                </c:pt>
                <c:pt idx="6" formatCode="General">
                  <c:v>20478</c:v>
                </c:pt>
                <c:pt idx="7" formatCode="General">
                  <c:v>21004</c:v>
                </c:pt>
                <c:pt idx="8" formatCode="General">
                  <c:v>19910</c:v>
                </c:pt>
                <c:pt idx="9" formatCode="General">
                  <c:v>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C-4570-802B-2E7B7891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41400"/>
        <c:axId val="637342056"/>
      </c:lineChart>
      <c:catAx>
        <c:axId val="6373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42056"/>
        <c:crosses val="autoZero"/>
        <c:auto val="1"/>
        <c:lblAlgn val="ctr"/>
        <c:lblOffset val="100"/>
        <c:noMultiLvlLbl val="0"/>
      </c:catAx>
      <c:valAx>
        <c:axId val="6373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'403sw'!$G$5:$G$14</c:f>
              <c:numCache>
                <c:formatCode>0.000000</c:formatCode>
                <c:ptCount val="10"/>
                <c:pt idx="0">
                  <c:v>4.8129999999999996E-3</c:v>
                </c:pt>
                <c:pt idx="1">
                  <c:v>5.5729999999999998E-3</c:v>
                </c:pt>
                <c:pt idx="2">
                  <c:v>5.9020000000000001E-3</c:v>
                </c:pt>
                <c:pt idx="3">
                  <c:v>7.3850000000000001E-3</c:v>
                </c:pt>
                <c:pt idx="4">
                  <c:v>8.7290000000000006E-3</c:v>
                </c:pt>
                <c:pt idx="5">
                  <c:v>1.2855E-2</c:v>
                </c:pt>
                <c:pt idx="6">
                  <c:v>1.6077999999999999E-2</c:v>
                </c:pt>
                <c:pt idx="7">
                  <c:v>2.4888E-2</c:v>
                </c:pt>
                <c:pt idx="8">
                  <c:v>5.1204E-2</c:v>
                </c:pt>
                <c:pt idx="9">
                  <c:v>2.6077889999999999</c:v>
                </c:pt>
              </c:numCache>
            </c:numRef>
          </c:cat>
          <c:val>
            <c:numRef>
              <c:f>'403sw'!$H$5:$H$14</c:f>
              <c:numCache>
                <c:formatCode>General</c:formatCode>
                <c:ptCount val="10"/>
                <c:pt idx="0">
                  <c:v>215.41582150101419</c:v>
                </c:pt>
                <c:pt idx="1">
                  <c:v>213.46855983772821</c:v>
                </c:pt>
                <c:pt idx="2">
                  <c:v>212.37322515212981</c:v>
                </c:pt>
                <c:pt idx="3">
                  <c:v>206.32860040567951</c:v>
                </c:pt>
                <c:pt idx="4">
                  <c:v>196.95740365111561</c:v>
                </c:pt>
                <c:pt idx="5">
                  <c:v>198.98580121703856</c:v>
                </c:pt>
                <c:pt idx="6">
                  <c:v>195.17241379310343</c:v>
                </c:pt>
                <c:pt idx="7">
                  <c:v>191.31845841784988</c:v>
                </c:pt>
                <c:pt idx="8">
                  <c:v>175.98377281947262</c:v>
                </c:pt>
                <c:pt idx="9">
                  <c:v>64.827586206896541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D-4E6B-85ED-24426292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87592"/>
        <c:axId val="356182672"/>
      </c:lineChart>
      <c:catAx>
        <c:axId val="3561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2672"/>
        <c:crosses val="autoZero"/>
        <c:auto val="1"/>
        <c:lblAlgn val="ctr"/>
        <c:lblOffset val="100"/>
        <c:noMultiLvlLbl val="0"/>
      </c:catAx>
      <c:valAx>
        <c:axId val="356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'403sw'!$G$5:$G$14</c:f>
              <c:numCache>
                <c:formatCode>0.000000</c:formatCode>
                <c:ptCount val="10"/>
                <c:pt idx="0">
                  <c:v>4.8129999999999996E-3</c:v>
                </c:pt>
                <c:pt idx="1">
                  <c:v>5.5729999999999998E-3</c:v>
                </c:pt>
                <c:pt idx="2">
                  <c:v>5.9020000000000001E-3</c:v>
                </c:pt>
                <c:pt idx="3">
                  <c:v>7.3850000000000001E-3</c:v>
                </c:pt>
                <c:pt idx="4">
                  <c:v>8.7290000000000006E-3</c:v>
                </c:pt>
                <c:pt idx="5">
                  <c:v>1.2855E-2</c:v>
                </c:pt>
                <c:pt idx="6">
                  <c:v>1.6077999999999999E-2</c:v>
                </c:pt>
                <c:pt idx="7">
                  <c:v>2.4888E-2</c:v>
                </c:pt>
                <c:pt idx="8">
                  <c:v>5.1204E-2</c:v>
                </c:pt>
                <c:pt idx="9">
                  <c:v>2.6077889999999999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4925-8481-9D101F2B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14136"/>
        <c:axId val="648316104"/>
      </c:lineChart>
      <c:catAx>
        <c:axId val="64831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16104"/>
        <c:crosses val="autoZero"/>
        <c:auto val="1"/>
        <c:lblAlgn val="ctr"/>
        <c:lblOffset val="100"/>
        <c:noMultiLvlLbl val="0"/>
      </c:catAx>
      <c:valAx>
        <c:axId val="6483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1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  <a:r>
              <a:rPr lang="pl-PL" baseline="0"/>
              <a:t>(SW)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'403sw'!$D$5:$D$14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0.999</c:v>
                </c:pt>
              </c:numCache>
            </c:numRef>
          </c:cat>
          <c:val>
            <c:numRef>
              <c:f>'403sw'!$F$5:$F$14</c:f>
              <c:numCache>
                <c:formatCode>0.00</c:formatCode>
                <c:ptCount val="10"/>
                <c:pt idx="0">
                  <c:v>7775</c:v>
                </c:pt>
                <c:pt idx="1">
                  <c:v>7727</c:v>
                </c:pt>
                <c:pt idx="2">
                  <c:v>7700</c:v>
                </c:pt>
                <c:pt idx="3">
                  <c:v>7551</c:v>
                </c:pt>
                <c:pt idx="4">
                  <c:v>7320</c:v>
                </c:pt>
                <c:pt idx="5">
                  <c:v>7370</c:v>
                </c:pt>
                <c:pt idx="6" formatCode="General">
                  <c:v>7276</c:v>
                </c:pt>
                <c:pt idx="7" formatCode="General">
                  <c:v>7181</c:v>
                </c:pt>
                <c:pt idx="8" formatCode="General">
                  <c:v>6803</c:v>
                </c:pt>
                <c:pt idx="9" formatCode="General">
                  <c:v>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022-B033-4D4A92E2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86544"/>
        <c:axId val="271487200"/>
      </c:lineChart>
      <c:catAx>
        <c:axId val="2714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487200"/>
        <c:crosses val="autoZero"/>
        <c:auto val="1"/>
        <c:lblAlgn val="ctr"/>
        <c:lblOffset val="100"/>
        <c:noMultiLvlLbl val="0"/>
      </c:catAx>
      <c:valAx>
        <c:axId val="2714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03857903178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4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  <a:r>
              <a:rPr lang="pl-PL" baseline="0"/>
              <a:t>(SW)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'47sw (2)'!$F$5:$F$11</c:f>
              <c:numCache>
                <c:formatCode>0.00</c:formatCode>
                <c:ptCount val="7"/>
                <c:pt idx="0">
                  <c:v>2582</c:v>
                </c:pt>
                <c:pt idx="1">
                  <c:v>2563</c:v>
                </c:pt>
                <c:pt idx="2">
                  <c:v>2297</c:v>
                </c:pt>
                <c:pt idx="3">
                  <c:v>2301</c:v>
                </c:pt>
                <c:pt idx="4">
                  <c:v>2204</c:v>
                </c:pt>
                <c:pt idx="5">
                  <c:v>2258</c:v>
                </c:pt>
                <c:pt idx="6" formatCode="General">
                  <c:v>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D-440D-A982-C234A61A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29888"/>
        <c:axId val="482727920"/>
      </c:lineChart>
      <c:catAx>
        <c:axId val="4827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27920"/>
        <c:crosses val="autoZero"/>
        <c:auto val="1"/>
        <c:lblAlgn val="ctr"/>
        <c:lblOffset val="100"/>
        <c:noMultiLvlLbl val="0"/>
      </c:catAx>
      <c:valAx>
        <c:axId val="482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7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 (2)'!$G$5:$G$11</c:f>
              <c:numCache>
                <c:formatCode>0.000000</c:formatCode>
                <c:ptCount val="7"/>
                <c:pt idx="0">
                  <c:v>29.971433000000001</c:v>
                </c:pt>
                <c:pt idx="1">
                  <c:v>59.982599999999998</c:v>
                </c:pt>
                <c:pt idx="2">
                  <c:v>119.93898799999999</c:v>
                </c:pt>
                <c:pt idx="3">
                  <c:v>179.99284499999999</c:v>
                </c:pt>
                <c:pt idx="4">
                  <c:v>239.97134700000001</c:v>
                </c:pt>
                <c:pt idx="5">
                  <c:v>299.980366</c:v>
                </c:pt>
                <c:pt idx="6">
                  <c:v>359.93428</c:v>
                </c:pt>
              </c:numCache>
            </c:numRef>
          </c:cat>
          <c:val>
            <c:numRef>
              <c:f>'170sw (2)'!$H$5:$H$11</c:f>
              <c:numCache>
                <c:formatCode>General</c:formatCode>
                <c:ptCount val="7"/>
                <c:pt idx="0">
                  <c:v>127.65880217785843</c:v>
                </c:pt>
                <c:pt idx="1">
                  <c:v>99.346642468239565</c:v>
                </c:pt>
                <c:pt idx="2">
                  <c:v>106.35208711433756</c:v>
                </c:pt>
                <c:pt idx="3">
                  <c:v>105.33575317604355</c:v>
                </c:pt>
                <c:pt idx="4">
                  <c:v>103.19419237749545</c:v>
                </c:pt>
                <c:pt idx="5">
                  <c:v>100.07259528130672</c:v>
                </c:pt>
                <c:pt idx="6">
                  <c:v>95.245009074410163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B70-B099-C6DD2B4F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27952"/>
        <c:axId val="474625328"/>
      </c:lineChart>
      <c:catAx>
        <c:axId val="4746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25328"/>
        <c:crosses val="autoZero"/>
        <c:auto val="1"/>
        <c:lblAlgn val="ctr"/>
        <c:lblOffset val="100"/>
        <c:noMultiLvlLbl val="0"/>
      </c:catAx>
      <c:valAx>
        <c:axId val="4746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'170sw (2)'!$G$5:$G$11</c:f>
              <c:numCache>
                <c:formatCode>0.000000</c:formatCode>
                <c:ptCount val="7"/>
                <c:pt idx="0">
                  <c:v>29.971433000000001</c:v>
                </c:pt>
                <c:pt idx="1">
                  <c:v>59.982599999999998</c:v>
                </c:pt>
                <c:pt idx="2">
                  <c:v>119.93898799999999</c:v>
                </c:pt>
                <c:pt idx="3">
                  <c:v>179.99284499999999</c:v>
                </c:pt>
                <c:pt idx="4">
                  <c:v>239.97134700000001</c:v>
                </c:pt>
                <c:pt idx="5">
                  <c:v>299.980366</c:v>
                </c:pt>
                <c:pt idx="6">
                  <c:v>359.93428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0-4C16-B821-D8086ACF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25760"/>
        <c:axId val="640321496"/>
      </c:lineChart>
      <c:catAx>
        <c:axId val="6403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1496"/>
        <c:crosses val="autoZero"/>
        <c:auto val="1"/>
        <c:lblAlgn val="ctr"/>
        <c:lblOffset val="100"/>
        <c:noMultiLvlLbl val="0"/>
      </c:catAx>
      <c:valAx>
        <c:axId val="6403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'170sw (2)'!$F$5:$F$11</c:f>
              <c:numCache>
                <c:formatCode>0.00</c:formatCode>
                <c:ptCount val="7"/>
                <c:pt idx="0">
                  <c:v>6272</c:v>
                </c:pt>
                <c:pt idx="1">
                  <c:v>5492</c:v>
                </c:pt>
                <c:pt idx="2">
                  <c:v>5685</c:v>
                </c:pt>
                <c:pt idx="3">
                  <c:v>5657</c:v>
                </c:pt>
                <c:pt idx="4">
                  <c:v>5598</c:v>
                </c:pt>
                <c:pt idx="5">
                  <c:v>5512</c:v>
                </c:pt>
                <c:pt idx="6" formatCode="General">
                  <c:v>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B25-852F-D6F84B7D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41400"/>
        <c:axId val="637342056"/>
      </c:lineChart>
      <c:catAx>
        <c:axId val="6373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42056"/>
        <c:crosses val="autoZero"/>
        <c:auto val="1"/>
        <c:lblAlgn val="ctr"/>
        <c:lblOffset val="100"/>
        <c:noMultiLvlLbl val="0"/>
      </c:catAx>
      <c:valAx>
        <c:axId val="6373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3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 (2)'!$G$5:$G$11</c:f>
              <c:numCache>
                <c:formatCode>0.000000</c:formatCode>
                <c:ptCount val="7"/>
                <c:pt idx="0">
                  <c:v>29.977153000000001</c:v>
                </c:pt>
                <c:pt idx="1">
                  <c:v>59.984848</c:v>
                </c:pt>
                <c:pt idx="2">
                  <c:v>119.94630100000001</c:v>
                </c:pt>
                <c:pt idx="3">
                  <c:v>179.99941999999999</c:v>
                </c:pt>
                <c:pt idx="4">
                  <c:v>239.97052400000001</c:v>
                </c:pt>
                <c:pt idx="5">
                  <c:v>299.989576</c:v>
                </c:pt>
                <c:pt idx="6">
                  <c:v>359.96235999999999</c:v>
                </c:pt>
              </c:numCache>
            </c:numRef>
          </c:cat>
          <c:val>
            <c:numRef>
              <c:f>'403sw (2)'!$H$5:$H$11</c:f>
              <c:numCache>
                <c:formatCode>General</c:formatCode>
                <c:ptCount val="7"/>
                <c:pt idx="0">
                  <c:v>9.3711967545638952</c:v>
                </c:pt>
                <c:pt idx="1">
                  <c:v>8.6409736308316436</c:v>
                </c:pt>
                <c:pt idx="2">
                  <c:v>4.9087221095334685</c:v>
                </c:pt>
                <c:pt idx="3">
                  <c:v>5.8417849898580121</c:v>
                </c:pt>
                <c:pt idx="4">
                  <c:v>4.1784989858012169</c:v>
                </c:pt>
                <c:pt idx="5">
                  <c:v>4.2190669371196758</c:v>
                </c:pt>
                <c:pt idx="6">
                  <c:v>3.9350912778904665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3A-8969-270DC2E3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87592"/>
        <c:axId val="356182672"/>
      </c:lineChart>
      <c:catAx>
        <c:axId val="3561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2672"/>
        <c:crosses val="autoZero"/>
        <c:auto val="1"/>
        <c:lblAlgn val="ctr"/>
        <c:lblOffset val="100"/>
        <c:noMultiLvlLbl val="0"/>
      </c:catAx>
      <c:valAx>
        <c:axId val="356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Czas(SW)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'403sw (2)'!$G$5:$G$11</c:f>
              <c:numCache>
                <c:formatCode>0.000000</c:formatCode>
                <c:ptCount val="7"/>
                <c:pt idx="0">
                  <c:v>29.977153000000001</c:v>
                </c:pt>
                <c:pt idx="1">
                  <c:v>59.984848</c:v>
                </c:pt>
                <c:pt idx="2">
                  <c:v>119.94630100000001</c:v>
                </c:pt>
                <c:pt idx="3">
                  <c:v>179.99941999999999</c:v>
                </c:pt>
                <c:pt idx="4">
                  <c:v>239.97052400000001</c:v>
                </c:pt>
                <c:pt idx="5">
                  <c:v>299.989576</c:v>
                </c:pt>
                <c:pt idx="6">
                  <c:v>359.96235999999999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7-419F-AB87-35152CA8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14136"/>
        <c:axId val="648316104"/>
      </c:lineChart>
      <c:catAx>
        <c:axId val="64831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  <a:r>
                  <a:rPr lang="pl-PL" baseline="0"/>
                  <a:t> chłodzenia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16104"/>
        <c:crosses val="autoZero"/>
        <c:auto val="1"/>
        <c:lblAlgn val="ctr"/>
        <c:lblOffset val="100"/>
        <c:noMultiLvlLbl val="0"/>
      </c:catAx>
      <c:valAx>
        <c:axId val="6483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31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Ścieżki</a:t>
            </a:r>
            <a:r>
              <a:rPr lang="pl-PL" baseline="0"/>
              <a:t>(SW)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'403sw (2)'!$D$5:$D$11</c:f>
              <c:numCache>
                <c:formatCode>General</c:formatCode>
                <c:ptCount val="7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</c:numCache>
            </c:numRef>
          </c:cat>
          <c:val>
            <c:numRef>
              <c:f>'403sw (2)'!$F$5:$F$11</c:f>
              <c:numCache>
                <c:formatCode>0.00</c:formatCode>
                <c:ptCount val="7"/>
                <c:pt idx="0">
                  <c:v>2696</c:v>
                </c:pt>
                <c:pt idx="1">
                  <c:v>2678</c:v>
                </c:pt>
                <c:pt idx="2">
                  <c:v>2586</c:v>
                </c:pt>
                <c:pt idx="3">
                  <c:v>2609</c:v>
                </c:pt>
                <c:pt idx="4">
                  <c:v>2568</c:v>
                </c:pt>
                <c:pt idx="5">
                  <c:v>2569</c:v>
                </c:pt>
                <c:pt idx="6" formatCode="General">
                  <c:v>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A-4B88-98EF-42BCCB71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86544"/>
        <c:axId val="271487200"/>
      </c:lineChart>
      <c:catAx>
        <c:axId val="2714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487200"/>
        <c:crosses val="autoZero"/>
        <c:auto val="1"/>
        <c:lblAlgn val="ctr"/>
        <c:lblOffset val="100"/>
        <c:noMultiLvlLbl val="0"/>
      </c:catAx>
      <c:valAx>
        <c:axId val="2714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03857903178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4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14</xdr:row>
      <xdr:rowOff>168592</xdr:rowOff>
    </xdr:from>
    <xdr:to>
      <xdr:col>7</xdr:col>
      <xdr:colOff>78105</xdr:colOff>
      <xdr:row>29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4AC83B-9FFF-46E9-B673-453D199E1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232410</xdr:colOff>
      <xdr:row>15</xdr:row>
      <xdr:rowOff>952</xdr:rowOff>
    </xdr:from>
    <xdr:to>
      <xdr:col>14</xdr:col>
      <xdr:colOff>489585</xdr:colOff>
      <xdr:row>29</xdr:row>
      <xdr:rowOff>77152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93B6D2-C34F-48E1-93BA-BAF1F8474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15</xdr:row>
      <xdr:rowOff>14287</xdr:rowOff>
    </xdr:from>
    <xdr:to>
      <xdr:col>22</xdr:col>
      <xdr:colOff>379095</xdr:colOff>
      <xdr:row>29</xdr:row>
      <xdr:rowOff>82867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E6400F-4CF7-4D96-BFDA-371D37939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84772</xdr:rowOff>
    </xdr:from>
    <xdr:to>
      <xdr:col>7</xdr:col>
      <xdr:colOff>333375</xdr:colOff>
      <xdr:row>28</xdr:row>
      <xdr:rowOff>160972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2E9C6A-0DB3-441D-AD01-952FB717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13</xdr:row>
      <xdr:rowOff>181927</xdr:rowOff>
    </xdr:from>
    <xdr:to>
      <xdr:col>15</xdr:col>
      <xdr:colOff>276225</xdr:colOff>
      <xdr:row>28</xdr:row>
      <xdr:rowOff>75247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AA6F29-5111-45CB-82B4-C9075CDC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321945</xdr:colOff>
      <xdr:row>14</xdr:row>
      <xdr:rowOff>14287</xdr:rowOff>
    </xdr:from>
    <xdr:to>
      <xdr:col>23</xdr:col>
      <xdr:colOff>17145</xdr:colOff>
      <xdr:row>28</xdr:row>
      <xdr:rowOff>82867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6D6390-7BB2-4072-910A-9FAA3BFBC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14</xdr:row>
      <xdr:rowOff>75247</xdr:rowOff>
    </xdr:from>
    <xdr:to>
      <xdr:col>7</xdr:col>
      <xdr:colOff>369570</xdr:colOff>
      <xdr:row>28</xdr:row>
      <xdr:rowOff>151447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91247A-F879-4979-A71D-8AF3ED93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217170</xdr:colOff>
      <xdr:row>13</xdr:row>
      <xdr:rowOff>178117</xdr:rowOff>
    </xdr:from>
    <xdr:to>
      <xdr:col>22</xdr:col>
      <xdr:colOff>521970</xdr:colOff>
      <xdr:row>28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78DDB1-3032-41C4-94A8-660121A8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14</xdr:row>
      <xdr:rowOff>54292</xdr:rowOff>
    </xdr:from>
    <xdr:to>
      <xdr:col>15</xdr:col>
      <xdr:colOff>123825</xdr:colOff>
      <xdr:row>28</xdr:row>
      <xdr:rowOff>130492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1ECDEEF-9EF3-4F54-ABEA-74A57271F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13</xdr:row>
      <xdr:rowOff>167640</xdr:rowOff>
    </xdr:from>
    <xdr:to>
      <xdr:col>6</xdr:col>
      <xdr:colOff>300990</xdr:colOff>
      <xdr:row>28</xdr:row>
      <xdr:rowOff>35242</xdr:rowOff>
    </xdr:to>
    <xdr:graphicFrame macro="">
      <xdr:nvGraphicFramePr>
        <xdr:cNvPr id="2" name="Wykres 9">
          <a:extLst>
            <a:ext uri="{FF2B5EF4-FFF2-40B4-BE49-F238E27FC236}">
              <a16:creationId xmlns:a16="http://schemas.microsoft.com/office/drawing/2014/main" id="{265D8E5D-8D3B-4AF2-A37D-AC53DABFA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363855</xdr:colOff>
      <xdr:row>13</xdr:row>
      <xdr:rowOff>113347</xdr:rowOff>
    </xdr:from>
    <xdr:to>
      <xdr:col>14</xdr:col>
      <xdr:colOff>76200</xdr:colOff>
      <xdr:row>28</xdr:row>
      <xdr:rowOff>6667</xdr:rowOff>
    </xdr:to>
    <xdr:graphicFrame macro="">
      <xdr:nvGraphicFramePr>
        <xdr:cNvPr id="3" name="Wykres 10">
          <a:extLst>
            <a:ext uri="{FF2B5EF4-FFF2-40B4-BE49-F238E27FC236}">
              <a16:creationId xmlns:a16="http://schemas.microsoft.com/office/drawing/2014/main" id="{B53B07A1-4632-4AB2-BF9F-4277450F1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97155</xdr:colOff>
      <xdr:row>13</xdr:row>
      <xdr:rowOff>113347</xdr:rowOff>
    </xdr:from>
    <xdr:to>
      <xdr:col>21</xdr:col>
      <xdr:colOff>449580</xdr:colOff>
      <xdr:row>28</xdr:row>
      <xdr:rowOff>6667</xdr:rowOff>
    </xdr:to>
    <xdr:graphicFrame macro="">
      <xdr:nvGraphicFramePr>
        <xdr:cNvPr id="4" name="Wykres 11">
          <a:extLst>
            <a:ext uri="{FF2B5EF4-FFF2-40B4-BE49-F238E27FC236}">
              <a16:creationId xmlns:a16="http://schemas.microsoft.com/office/drawing/2014/main" id="{3C040929-5C0C-4939-AD03-910C79868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13</xdr:row>
      <xdr:rowOff>115252</xdr:rowOff>
    </xdr:from>
    <xdr:to>
      <xdr:col>7</xdr:col>
      <xdr:colOff>120015</xdr:colOff>
      <xdr:row>28</xdr:row>
      <xdr:rowOff>8572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95A9EDA1-84AD-4A24-96CC-C3EAF813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13</xdr:row>
      <xdr:rowOff>73342</xdr:rowOff>
    </xdr:from>
    <xdr:to>
      <xdr:col>14</xdr:col>
      <xdr:colOff>440055</xdr:colOff>
      <xdr:row>27</xdr:row>
      <xdr:rowOff>141922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C90606F0-E5E7-438B-9F6A-C9E3091AF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516255</xdr:colOff>
      <xdr:row>13</xdr:row>
      <xdr:rowOff>21907</xdr:rowOff>
    </xdr:from>
    <xdr:to>
      <xdr:col>21</xdr:col>
      <xdr:colOff>318135</xdr:colOff>
      <xdr:row>27</xdr:row>
      <xdr:rowOff>98107</xdr:rowOff>
    </xdr:to>
    <xdr:graphicFrame macro="">
      <xdr:nvGraphicFramePr>
        <xdr:cNvPr id="4" name="Wykres 5">
          <a:extLst>
            <a:ext uri="{FF2B5EF4-FFF2-40B4-BE49-F238E27FC236}">
              <a16:creationId xmlns:a16="http://schemas.microsoft.com/office/drawing/2014/main" id="{7EF2A396-4BE7-434C-894C-44F844D7F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283845</xdr:colOff>
      <xdr:row>12</xdr:row>
      <xdr:rowOff>153352</xdr:rowOff>
    </xdr:from>
    <xdr:to>
      <xdr:col>7</xdr:col>
      <xdr:colOff>443865</xdr:colOff>
      <xdr:row>27</xdr:row>
      <xdr:rowOff>46672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E367AD80-F1AB-4A58-BD2B-2E4391F8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222885</xdr:colOff>
      <xdr:row>12</xdr:row>
      <xdr:rowOff>120967</xdr:rowOff>
    </xdr:from>
    <xdr:to>
      <xdr:col>22</xdr:col>
      <xdr:colOff>527685</xdr:colOff>
      <xdr:row>27</xdr:row>
      <xdr:rowOff>14287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94D98BF1-BA74-46E9-AA7A-1B782608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474345</xdr:colOff>
      <xdr:row>12</xdr:row>
      <xdr:rowOff>136207</xdr:rowOff>
    </xdr:from>
    <xdr:to>
      <xdr:col>15</xdr:col>
      <xdr:colOff>169545</xdr:colOff>
      <xdr:row>27</xdr:row>
      <xdr:rowOff>29527</xdr:rowOff>
    </xdr:to>
    <xdr:graphicFrame macro="">
      <xdr:nvGraphicFramePr>
        <xdr:cNvPr id="4" name="Wykres 4">
          <a:extLst>
            <a:ext uri="{FF2B5EF4-FFF2-40B4-BE49-F238E27FC236}">
              <a16:creationId xmlns:a16="http://schemas.microsoft.com/office/drawing/2014/main" id="{3C14AEF2-CA6A-4225-A817-C3DEE5D5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14</xdr:row>
      <xdr:rowOff>168592</xdr:rowOff>
    </xdr:from>
    <xdr:to>
      <xdr:col>7</xdr:col>
      <xdr:colOff>78105</xdr:colOff>
      <xdr:row>29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0E951C-5281-4E3F-8B74-8DC7A49A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232410</xdr:colOff>
      <xdr:row>15</xdr:row>
      <xdr:rowOff>952</xdr:rowOff>
    </xdr:from>
    <xdr:to>
      <xdr:col>14</xdr:col>
      <xdr:colOff>489585</xdr:colOff>
      <xdr:row>29</xdr:row>
      <xdr:rowOff>77152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D07943-4C64-416D-A78F-18487AC05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15</xdr:row>
      <xdr:rowOff>14287</xdr:rowOff>
    </xdr:from>
    <xdr:to>
      <xdr:col>22</xdr:col>
      <xdr:colOff>379095</xdr:colOff>
      <xdr:row>29</xdr:row>
      <xdr:rowOff>82867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9CC4657-7552-437A-B413-CE869CB1B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84772</xdr:rowOff>
    </xdr:from>
    <xdr:to>
      <xdr:col>7</xdr:col>
      <xdr:colOff>333375</xdr:colOff>
      <xdr:row>28</xdr:row>
      <xdr:rowOff>160972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B93D0F-38E3-4C92-8D02-F1FDB1DC8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13</xdr:row>
      <xdr:rowOff>181927</xdr:rowOff>
    </xdr:from>
    <xdr:to>
      <xdr:col>15</xdr:col>
      <xdr:colOff>276225</xdr:colOff>
      <xdr:row>28</xdr:row>
      <xdr:rowOff>75247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BC5E5C-428B-41F8-8962-533F7E5C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321945</xdr:colOff>
      <xdr:row>14</xdr:row>
      <xdr:rowOff>14287</xdr:rowOff>
    </xdr:from>
    <xdr:to>
      <xdr:col>23</xdr:col>
      <xdr:colOff>17145</xdr:colOff>
      <xdr:row>28</xdr:row>
      <xdr:rowOff>82867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E1401A-19EA-4A6E-A24C-83421758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14</xdr:row>
      <xdr:rowOff>75247</xdr:rowOff>
    </xdr:from>
    <xdr:to>
      <xdr:col>7</xdr:col>
      <xdr:colOff>369570</xdr:colOff>
      <xdr:row>28</xdr:row>
      <xdr:rowOff>151447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801DEE-713A-4404-885E-F4D9A54A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217170</xdr:colOff>
      <xdr:row>13</xdr:row>
      <xdr:rowOff>178117</xdr:rowOff>
    </xdr:from>
    <xdr:to>
      <xdr:col>22</xdr:col>
      <xdr:colOff>521970</xdr:colOff>
      <xdr:row>28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AF4363-E0CC-46F0-8271-B81DF908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14</xdr:row>
      <xdr:rowOff>54292</xdr:rowOff>
    </xdr:from>
    <xdr:to>
      <xdr:col>15</xdr:col>
      <xdr:colOff>123825</xdr:colOff>
      <xdr:row>28</xdr:row>
      <xdr:rowOff>130492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A14F3A-2257-4066-87EC-3E455019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D4AC-0599-425A-9976-D36323904C5B}">
  <dimension ref="A2:H22"/>
  <sheetViews>
    <sheetView workbookViewId="0">
      <selection activeCell="B4" sqref="B4:H14"/>
    </sheetView>
  </sheetViews>
  <sheetFormatPr defaultRowHeight="14.4" x14ac:dyDescent="0.3"/>
  <cols>
    <col min="3" max="3" width="10.44140625" bestFit="1" customWidth="1"/>
    <col min="4" max="4" width="12.5546875" customWidth="1"/>
    <col min="5" max="5" width="14.88671875" customWidth="1"/>
    <col min="7" max="7" width="16.5546875" bestFit="1" customWidth="1"/>
    <col min="8" max="8" width="9.88671875" bestFit="1" customWidth="1"/>
  </cols>
  <sheetData>
    <row r="2" spans="1:8" x14ac:dyDescent="0.3">
      <c r="H2">
        <v>1776</v>
      </c>
    </row>
    <row r="4" spans="1:8" ht="57.6" x14ac:dyDescent="0.3">
      <c r="A4" t="s">
        <v>46</v>
      </c>
      <c r="B4" s="16" t="s">
        <v>45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44</v>
      </c>
      <c r="H4" s="12" t="s">
        <v>40</v>
      </c>
    </row>
    <row r="5" spans="1:8" x14ac:dyDescent="0.3">
      <c r="B5" s="5">
        <v>30</v>
      </c>
      <c r="C5" s="5">
        <v>42890</v>
      </c>
      <c r="D5" s="5">
        <v>0.999</v>
      </c>
      <c r="E5" s="5" t="s">
        <v>47</v>
      </c>
      <c r="F5" s="8">
        <v>2582</v>
      </c>
      <c r="G5" s="9">
        <f>29997270/1000000</f>
        <v>29.99727</v>
      </c>
      <c r="H5" s="5">
        <f>(F5-H2)/H2*100</f>
        <v>45.382882882882889</v>
      </c>
    </row>
    <row r="6" spans="1:8" x14ac:dyDescent="0.3">
      <c r="B6" s="4">
        <v>60</v>
      </c>
      <c r="C6" s="4">
        <v>42890</v>
      </c>
      <c r="D6" s="4">
        <v>0.999</v>
      </c>
      <c r="E6" s="4" t="s">
        <v>47</v>
      </c>
      <c r="F6" s="10">
        <v>2563</v>
      </c>
      <c r="G6" s="11">
        <f>59978657/1000000</f>
        <v>59.978656999999998</v>
      </c>
      <c r="H6" s="4">
        <f>(F6-H2)/H2*100</f>
        <v>44.313063063063062</v>
      </c>
    </row>
    <row r="7" spans="1:8" x14ac:dyDescent="0.3">
      <c r="B7" s="5">
        <v>120</v>
      </c>
      <c r="C7" s="5">
        <v>42890</v>
      </c>
      <c r="D7" s="5">
        <v>0.999</v>
      </c>
      <c r="E7" s="5" t="s">
        <v>47</v>
      </c>
      <c r="F7" s="8">
        <v>2297</v>
      </c>
      <c r="G7" s="9">
        <f>119995821/1000000</f>
        <v>119.99582100000001</v>
      </c>
      <c r="H7" s="5">
        <f>(F7-H2)/H2*100</f>
        <v>29.335585585585584</v>
      </c>
    </row>
    <row r="8" spans="1:8" x14ac:dyDescent="0.3">
      <c r="B8" s="4">
        <v>180</v>
      </c>
      <c r="C8" s="4">
        <v>42890</v>
      </c>
      <c r="D8" s="4">
        <v>0.999</v>
      </c>
      <c r="E8" s="5" t="s">
        <v>48</v>
      </c>
      <c r="F8" s="10">
        <v>2301</v>
      </c>
      <c r="G8" s="11">
        <f>179978409/1000000</f>
        <v>179.978409</v>
      </c>
      <c r="H8" s="4">
        <f>(F8-H2)/H2*100</f>
        <v>29.560810810810811</v>
      </c>
    </row>
    <row r="9" spans="1:8" x14ac:dyDescent="0.3">
      <c r="B9" s="5">
        <v>240</v>
      </c>
      <c r="C9" s="5">
        <v>42890</v>
      </c>
      <c r="D9" s="5">
        <v>0.999</v>
      </c>
      <c r="E9" s="5" t="s">
        <v>49</v>
      </c>
      <c r="F9" s="8">
        <v>2204</v>
      </c>
      <c r="G9" s="9">
        <f>239989244/1000000</f>
        <v>239.98924400000001</v>
      </c>
      <c r="H9" s="5">
        <f>(F9-H2)/H2*100</f>
        <v>24.099099099099099</v>
      </c>
    </row>
    <row r="10" spans="1:8" x14ac:dyDescent="0.3">
      <c r="B10" s="4">
        <v>300</v>
      </c>
      <c r="C10" s="4">
        <v>42890</v>
      </c>
      <c r="D10" s="4">
        <v>0.999</v>
      </c>
      <c r="E10" s="5" t="s">
        <v>50</v>
      </c>
      <c r="F10" s="10">
        <v>2258</v>
      </c>
      <c r="G10" s="11">
        <f>299998856/1000000</f>
        <v>299.99885599999999</v>
      </c>
      <c r="H10" s="4">
        <f>(F10-H2)/H2*100</f>
        <v>27.13963963963964</v>
      </c>
    </row>
    <row r="11" spans="1:8" x14ac:dyDescent="0.3">
      <c r="B11" s="5">
        <v>360</v>
      </c>
      <c r="C11" s="5">
        <v>42890</v>
      </c>
      <c r="D11" s="5">
        <v>0.999</v>
      </c>
      <c r="E11" s="5" t="s">
        <v>51</v>
      </c>
      <c r="F11" s="5">
        <v>2193</v>
      </c>
      <c r="G11" s="9">
        <f>359997497/1000000</f>
        <v>359.99749700000001</v>
      </c>
      <c r="H11" s="5">
        <f>(F11-H2)/H2*100</f>
        <v>23.47972972972973</v>
      </c>
    </row>
    <row r="12" spans="1:8" x14ac:dyDescent="0.3">
      <c r="B12" s="4"/>
      <c r="C12" s="4"/>
      <c r="D12" s="4"/>
      <c r="E12" s="4"/>
      <c r="F12" s="4"/>
      <c r="G12" s="11"/>
      <c r="H12" s="4"/>
    </row>
    <row r="13" spans="1:8" x14ac:dyDescent="0.3">
      <c r="B13" s="5"/>
      <c r="C13" s="5"/>
      <c r="D13" s="5"/>
      <c r="E13" s="5"/>
      <c r="F13" s="5"/>
      <c r="G13" s="9"/>
      <c r="H13" s="5"/>
    </row>
    <row r="14" spans="1:8" x14ac:dyDescent="0.3">
      <c r="B14" s="4"/>
      <c r="C14" s="4"/>
      <c r="D14" s="4"/>
      <c r="E14" s="4"/>
      <c r="F14" s="4"/>
      <c r="G14" s="11"/>
      <c r="H14" s="4"/>
    </row>
    <row r="17" spans="4:5" x14ac:dyDescent="0.3">
      <c r="D17" s="3">
        <v>0.354827</v>
      </c>
      <c r="E17" s="2">
        <v>50.337837837837839</v>
      </c>
    </row>
    <row r="18" spans="4:5" x14ac:dyDescent="0.3">
      <c r="D18" s="3">
        <v>0.39572499999999999</v>
      </c>
      <c r="E18" s="2">
        <v>40.315315315315317</v>
      </c>
    </row>
    <row r="19" spans="4:5" x14ac:dyDescent="0.3">
      <c r="D19" s="3">
        <v>0.42196099999999997</v>
      </c>
      <c r="E19" s="2">
        <v>46.846846846846844</v>
      </c>
    </row>
    <row r="20" spans="4:5" x14ac:dyDescent="0.3">
      <c r="D20" s="3">
        <v>0.66213599999999995</v>
      </c>
      <c r="E20" s="2">
        <v>15.090090090090092</v>
      </c>
    </row>
    <row r="21" spans="4:5" x14ac:dyDescent="0.3">
      <c r="D21" s="3">
        <v>0.69278899999999999</v>
      </c>
      <c r="E21" s="2">
        <v>30.292792792792795</v>
      </c>
    </row>
    <row r="22" spans="4:5" x14ac:dyDescent="0.3">
      <c r="D22" s="3">
        <v>15.0695</v>
      </c>
      <c r="E22" s="2">
        <v>20.777027027027025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B966-A6A4-42F5-AB81-5EED024D83F0}">
  <dimension ref="B2:K23"/>
  <sheetViews>
    <sheetView tabSelected="1" workbookViewId="0">
      <selection activeCell="B4" sqref="B4:H11"/>
    </sheetView>
  </sheetViews>
  <sheetFormatPr defaultRowHeight="14.4" x14ac:dyDescent="0.3"/>
  <cols>
    <col min="5" max="5" width="15.5546875" customWidth="1"/>
    <col min="7" max="7" width="16.5546875" bestFit="1" customWidth="1"/>
  </cols>
  <sheetData>
    <row r="2" spans="2:11" x14ac:dyDescent="0.3">
      <c r="H2" s="1">
        <v>2755</v>
      </c>
    </row>
    <row r="4" spans="2:11" ht="57.6" x14ac:dyDescent="0.3">
      <c r="B4" s="17" t="s">
        <v>45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2</v>
      </c>
    </row>
    <row r="5" spans="2:11" x14ac:dyDescent="0.3">
      <c r="B5" s="5">
        <v>30</v>
      </c>
      <c r="C5" s="5">
        <v>71460</v>
      </c>
      <c r="D5" s="5">
        <v>0.999</v>
      </c>
      <c r="E5" s="5" t="s">
        <v>52</v>
      </c>
      <c r="F5" s="8">
        <v>6272</v>
      </c>
      <c r="G5" s="9">
        <f>29971433/K$5</f>
        <v>29.971433000000001</v>
      </c>
      <c r="H5" s="5">
        <f>(F5-H2)/H2*100</f>
        <v>127.65880217785843</v>
      </c>
      <c r="K5">
        <v>1000000</v>
      </c>
    </row>
    <row r="6" spans="2:11" x14ac:dyDescent="0.3">
      <c r="B6" s="4">
        <v>60</v>
      </c>
      <c r="C6" s="4">
        <v>71460</v>
      </c>
      <c r="D6" s="5">
        <v>0.999</v>
      </c>
      <c r="E6" s="4" t="s">
        <v>53</v>
      </c>
      <c r="F6" s="10">
        <v>5492</v>
      </c>
      <c r="G6" s="11">
        <f>59982600/1000000</f>
        <v>59.982599999999998</v>
      </c>
      <c r="H6" s="4">
        <f>(F6-H2)/H2*100</f>
        <v>99.346642468239565</v>
      </c>
    </row>
    <row r="7" spans="2:11" x14ac:dyDescent="0.3">
      <c r="B7" s="5">
        <v>120</v>
      </c>
      <c r="C7" s="5">
        <v>71460</v>
      </c>
      <c r="D7" s="5">
        <v>0.999</v>
      </c>
      <c r="E7" s="5" t="s">
        <v>52</v>
      </c>
      <c r="F7" s="8">
        <v>5685</v>
      </c>
      <c r="G7" s="9">
        <f>119938988/1000000</f>
        <v>119.93898799999999</v>
      </c>
      <c r="H7" s="5">
        <f>(F7-H2)/H2*100</f>
        <v>106.35208711433756</v>
      </c>
    </row>
    <row r="8" spans="2:11" x14ac:dyDescent="0.3">
      <c r="B8" s="4">
        <v>180</v>
      </c>
      <c r="C8" s="4">
        <v>71460</v>
      </c>
      <c r="D8" s="5">
        <v>0.999</v>
      </c>
      <c r="E8" s="4" t="s">
        <v>52</v>
      </c>
      <c r="F8" s="10">
        <v>5657</v>
      </c>
      <c r="G8" s="11">
        <f xml:space="preserve"> 179992845/1000000</f>
        <v>179.99284499999999</v>
      </c>
      <c r="H8" s="4">
        <f>(F8-H2)/H2*100</f>
        <v>105.33575317604355</v>
      </c>
    </row>
    <row r="9" spans="2:11" x14ac:dyDescent="0.3">
      <c r="B9" s="5">
        <v>240</v>
      </c>
      <c r="C9" s="5">
        <v>71460</v>
      </c>
      <c r="D9" s="5">
        <v>0.999</v>
      </c>
      <c r="E9" s="5" t="s">
        <v>52</v>
      </c>
      <c r="F9" s="8">
        <v>5598</v>
      </c>
      <c r="G9" s="9">
        <f>239971347/1000000</f>
        <v>239.97134700000001</v>
      </c>
      <c r="H9" s="5">
        <f>(F9-H2)/H2*100</f>
        <v>103.19419237749545</v>
      </c>
    </row>
    <row r="10" spans="2:11" x14ac:dyDescent="0.3">
      <c r="B10" s="4">
        <v>300</v>
      </c>
      <c r="C10" s="4">
        <v>71460</v>
      </c>
      <c r="D10" s="5">
        <v>0.999</v>
      </c>
      <c r="E10" s="4" t="s">
        <v>52</v>
      </c>
      <c r="F10" s="10">
        <v>5512</v>
      </c>
      <c r="G10" s="11">
        <f>299980366/1000000</f>
        <v>299.980366</v>
      </c>
      <c r="H10" s="4">
        <f>(F10-H2)/H2*100</f>
        <v>100.07259528130672</v>
      </c>
    </row>
    <row r="11" spans="2:11" x14ac:dyDescent="0.3">
      <c r="B11" s="5">
        <v>360</v>
      </c>
      <c r="C11" s="5">
        <v>71460</v>
      </c>
      <c r="D11" s="5">
        <v>0.999</v>
      </c>
      <c r="E11" s="5" t="s">
        <v>52</v>
      </c>
      <c r="F11" s="5">
        <v>5379</v>
      </c>
      <c r="G11" s="9">
        <f>359934280/1000000</f>
        <v>359.93428</v>
      </c>
      <c r="H11" s="5">
        <f>(F11-H2)/H2*100</f>
        <v>95.245009074410163</v>
      </c>
    </row>
    <row r="12" spans="2:11" x14ac:dyDescent="0.3">
      <c r="C12" s="4"/>
      <c r="D12" s="4"/>
      <c r="E12" s="4"/>
      <c r="F12" s="4"/>
      <c r="G12" s="11"/>
      <c r="H12" s="4"/>
    </row>
    <row r="13" spans="2:11" x14ac:dyDescent="0.3">
      <c r="C13" s="5"/>
      <c r="D13" s="5"/>
      <c r="E13" s="5"/>
      <c r="F13" s="5"/>
      <c r="G13" s="9"/>
      <c r="H13" s="5"/>
    </row>
    <row r="14" spans="2:11" x14ac:dyDescent="0.3">
      <c r="C14" s="4"/>
      <c r="D14" s="4"/>
      <c r="E14" s="4"/>
      <c r="F14" s="4"/>
      <c r="G14" s="11"/>
      <c r="H14" s="4"/>
    </row>
    <row r="18" spans="6:7" x14ac:dyDescent="0.3">
      <c r="F18" s="3">
        <v>0.42196099999999997</v>
      </c>
      <c r="G18">
        <v>108.34845735027223</v>
      </c>
    </row>
    <row r="19" spans="6:7" x14ac:dyDescent="0.3">
      <c r="F19" s="3">
        <v>10.5284</v>
      </c>
      <c r="G19">
        <v>107.15063520871144</v>
      </c>
    </row>
    <row r="20" spans="6:7" x14ac:dyDescent="0.3">
      <c r="F20" s="3">
        <v>12.385899999999999</v>
      </c>
      <c r="G20">
        <v>100.68965517241379</v>
      </c>
    </row>
    <row r="21" spans="6:7" x14ac:dyDescent="0.3">
      <c r="F21" s="3">
        <v>19.2956</v>
      </c>
      <c r="G21">
        <v>72.341197822141552</v>
      </c>
    </row>
    <row r="22" spans="6:7" x14ac:dyDescent="0.3">
      <c r="F22" s="3">
        <v>23.526299999999999</v>
      </c>
      <c r="G22">
        <v>88.421052631578945</v>
      </c>
    </row>
    <row r="23" spans="6:7" x14ac:dyDescent="0.3">
      <c r="F23" s="3">
        <v>544.91300000000001</v>
      </c>
      <c r="G23">
        <v>57.459165154264966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DE2B-ED73-4A89-9DEE-9203E6A11C27}">
  <dimension ref="B2:H24"/>
  <sheetViews>
    <sheetView workbookViewId="0">
      <selection activeCell="B4" sqref="B4:H11"/>
    </sheetView>
  </sheetViews>
  <sheetFormatPr defaultRowHeight="14.4" x14ac:dyDescent="0.3"/>
  <cols>
    <col min="5" max="5" width="13.77734375" customWidth="1"/>
    <col min="7" max="7" width="10.33203125" customWidth="1"/>
  </cols>
  <sheetData>
    <row r="2" spans="2:8" x14ac:dyDescent="0.3">
      <c r="H2">
        <v>2465</v>
      </c>
    </row>
    <row r="4" spans="2:8" ht="57.6" x14ac:dyDescent="0.3">
      <c r="B4" s="17" t="s">
        <v>45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2</v>
      </c>
    </row>
    <row r="5" spans="2:8" x14ac:dyDescent="0.3">
      <c r="B5" s="5">
        <v>30</v>
      </c>
      <c r="C5" s="5">
        <v>79560</v>
      </c>
      <c r="D5" s="5">
        <v>0.999</v>
      </c>
      <c r="E5" s="5" t="s">
        <v>52</v>
      </c>
      <c r="F5" s="8">
        <v>2696</v>
      </c>
      <c r="G5" s="9">
        <f>29977153/1000000</f>
        <v>29.977153000000001</v>
      </c>
      <c r="H5" s="5">
        <f>(F5-H2)/H2*100</f>
        <v>9.3711967545638952</v>
      </c>
    </row>
    <row r="6" spans="2:8" x14ac:dyDescent="0.3">
      <c r="B6" s="4">
        <v>60</v>
      </c>
      <c r="C6" s="4">
        <v>79560</v>
      </c>
      <c r="D6" s="5">
        <v>0.999</v>
      </c>
      <c r="E6" s="5" t="s">
        <v>54</v>
      </c>
      <c r="F6" s="10">
        <v>2678</v>
      </c>
      <c r="G6" s="11">
        <f>59984848/1000000</f>
        <v>59.984848</v>
      </c>
      <c r="H6" s="4">
        <f>(F6-H2)/H2*100</f>
        <v>8.6409736308316436</v>
      </c>
    </row>
    <row r="7" spans="2:8" x14ac:dyDescent="0.3">
      <c r="B7" s="5">
        <v>120</v>
      </c>
      <c r="C7" s="5">
        <v>79560</v>
      </c>
      <c r="D7" s="5">
        <v>0.999</v>
      </c>
      <c r="E7" s="5" t="s">
        <v>55</v>
      </c>
      <c r="F7" s="8">
        <v>2586</v>
      </c>
      <c r="G7" s="9">
        <f>119946301/1000000</f>
        <v>119.94630100000001</v>
      </c>
      <c r="H7" s="5">
        <f>(F7-H2)/H2*100</f>
        <v>4.9087221095334685</v>
      </c>
    </row>
    <row r="8" spans="2:8" x14ac:dyDescent="0.3">
      <c r="B8" s="4">
        <v>180</v>
      </c>
      <c r="C8" s="4">
        <v>79560</v>
      </c>
      <c r="D8" s="5">
        <v>0.999</v>
      </c>
      <c r="E8" s="5" t="s">
        <v>56</v>
      </c>
      <c r="F8" s="10">
        <v>2609</v>
      </c>
      <c r="G8" s="11">
        <f>179999420/1000000</f>
        <v>179.99941999999999</v>
      </c>
      <c r="H8" s="4">
        <f>(F8-H2)/H2*100</f>
        <v>5.8417849898580121</v>
      </c>
    </row>
    <row r="9" spans="2:8" x14ac:dyDescent="0.3">
      <c r="B9" s="5">
        <v>240</v>
      </c>
      <c r="C9" s="5">
        <v>79560</v>
      </c>
      <c r="D9" s="5">
        <v>0.999</v>
      </c>
      <c r="E9" s="5" t="s">
        <v>57</v>
      </c>
      <c r="F9" s="8">
        <v>2568</v>
      </c>
      <c r="G9" s="9">
        <f>239970524/1000000</f>
        <v>239.97052400000001</v>
      </c>
      <c r="H9" s="5">
        <f>(F9-H2)/H2*100</f>
        <v>4.1784989858012169</v>
      </c>
    </row>
    <row r="10" spans="2:8" x14ac:dyDescent="0.3">
      <c r="B10" s="4">
        <v>300</v>
      </c>
      <c r="C10" s="4">
        <v>79560</v>
      </c>
      <c r="D10" s="5">
        <v>0.999</v>
      </c>
      <c r="E10" s="5" t="s">
        <v>58</v>
      </c>
      <c r="F10" s="10">
        <v>2569</v>
      </c>
      <c r="G10" s="11">
        <f>299989576/1000000</f>
        <v>299.989576</v>
      </c>
      <c r="H10" s="4">
        <f>(F10-H2)/H2*100</f>
        <v>4.2190669371196758</v>
      </c>
    </row>
    <row r="11" spans="2:8" x14ac:dyDescent="0.3">
      <c r="B11" s="5">
        <v>360</v>
      </c>
      <c r="C11" s="5">
        <v>79560</v>
      </c>
      <c r="D11" s="5">
        <v>0.999</v>
      </c>
      <c r="E11" s="5" t="s">
        <v>59</v>
      </c>
      <c r="F11" s="5">
        <v>2562</v>
      </c>
      <c r="G11" s="9">
        <f>359962360/1000000</f>
        <v>359.96235999999999</v>
      </c>
      <c r="H11" s="5">
        <f>(F11-H2)/H2*100</f>
        <v>3.9350912778904665</v>
      </c>
    </row>
    <row r="12" spans="2:8" x14ac:dyDescent="0.3">
      <c r="C12" s="4"/>
      <c r="D12" s="4"/>
      <c r="E12" s="4"/>
      <c r="F12" s="4"/>
      <c r="G12" s="11"/>
      <c r="H12" s="4"/>
    </row>
    <row r="13" spans="2:8" x14ac:dyDescent="0.3">
      <c r="C13" s="5"/>
      <c r="D13" s="5"/>
      <c r="E13" s="5"/>
      <c r="F13" s="5"/>
      <c r="G13" s="9"/>
      <c r="H13" s="5"/>
    </row>
    <row r="14" spans="2:8" x14ac:dyDescent="0.3">
      <c r="C14" s="4"/>
      <c r="D14" s="4"/>
      <c r="E14" s="4"/>
      <c r="F14" s="4"/>
      <c r="G14" s="11"/>
      <c r="H14" s="4"/>
    </row>
    <row r="19" spans="5:6" x14ac:dyDescent="0.3">
      <c r="E19" s="3">
        <v>127.398</v>
      </c>
      <c r="F19">
        <v>5.3144016227180524</v>
      </c>
    </row>
    <row r="20" spans="5:6" x14ac:dyDescent="0.3">
      <c r="E20" s="3">
        <v>151.13300000000001</v>
      </c>
      <c r="F20">
        <v>6.004056795131846</v>
      </c>
    </row>
    <row r="21" spans="5:6" x14ac:dyDescent="0.3">
      <c r="E21" s="3">
        <v>185.29</v>
      </c>
      <c r="F21">
        <v>3.7322515212981742</v>
      </c>
    </row>
    <row r="22" spans="5:6" x14ac:dyDescent="0.3">
      <c r="E22" s="3">
        <v>223.774</v>
      </c>
      <c r="F22">
        <v>2.5963488843813387</v>
      </c>
    </row>
    <row r="23" spans="5:6" x14ac:dyDescent="0.3">
      <c r="E23" s="3">
        <v>288.57100000000003</v>
      </c>
      <c r="F23">
        <v>4.3002028397565919</v>
      </c>
    </row>
    <row r="24" spans="5:6" x14ac:dyDescent="0.3">
      <c r="E24" s="3">
        <v>1500</v>
      </c>
      <c r="F24">
        <v>1.4198782961460445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CA35-957E-4701-9431-09F881043091}">
  <dimension ref="C4:V25"/>
  <sheetViews>
    <sheetView topLeftCell="B1" workbookViewId="0">
      <selection activeCell="M12" sqref="M12"/>
    </sheetView>
  </sheetViews>
  <sheetFormatPr defaultRowHeight="14.4" x14ac:dyDescent="0.3"/>
  <cols>
    <col min="3" max="3" width="12.88671875" customWidth="1"/>
    <col min="4" max="4" width="9.109375" customWidth="1"/>
    <col min="5" max="5" width="15.44140625" bestFit="1" customWidth="1"/>
  </cols>
  <sheetData>
    <row r="4" spans="3:22" x14ac:dyDescent="0.3">
      <c r="C4" s="6" t="s">
        <v>42</v>
      </c>
      <c r="D4" s="6" t="s">
        <v>41</v>
      </c>
      <c r="E4" s="6" t="s">
        <v>1</v>
      </c>
      <c r="F4" s="6" t="s">
        <v>40</v>
      </c>
      <c r="J4" s="1">
        <v>30</v>
      </c>
      <c r="K4" s="1"/>
      <c r="L4" s="1">
        <v>60</v>
      </c>
      <c r="M4" s="1"/>
      <c r="N4" s="1">
        <v>120</v>
      </c>
      <c r="O4" s="1"/>
      <c r="P4" s="1">
        <v>180</v>
      </c>
      <c r="Q4" s="1"/>
      <c r="R4" s="1">
        <v>240</v>
      </c>
      <c r="S4" s="1"/>
      <c r="T4" s="1">
        <v>300</v>
      </c>
      <c r="U4" s="1"/>
      <c r="V4" s="1">
        <v>360</v>
      </c>
    </row>
    <row r="5" spans="3:22" x14ac:dyDescent="0.3">
      <c r="C5" s="5"/>
      <c r="D5" s="5"/>
      <c r="E5" s="5"/>
      <c r="F5" s="5"/>
      <c r="I5">
        <v>2185</v>
      </c>
      <c r="J5">
        <f>28328033/1000000</f>
        <v>28.328033000000001</v>
      </c>
      <c r="K5">
        <v>2138</v>
      </c>
      <c r="L5">
        <f>28977409/1000000</f>
        <v>28.977409000000002</v>
      </c>
      <c r="M5">
        <v>2049</v>
      </c>
      <c r="N5">
        <f>62528111/1000000</f>
        <v>62.528111000000003</v>
      </c>
      <c r="O5">
        <v>2049</v>
      </c>
      <c r="P5">
        <f>62528111/1000000</f>
        <v>62.528111000000003</v>
      </c>
      <c r="Q5">
        <v>2078</v>
      </c>
      <c r="R5">
        <f>145964928/1000000</f>
        <v>145.96492799999999</v>
      </c>
      <c r="S5">
        <v>2078</v>
      </c>
      <c r="T5">
        <v>245.96492799999999</v>
      </c>
      <c r="U5">
        <v>2050</v>
      </c>
      <c r="V5">
        <f>213250771/1000000</f>
        <v>213.25077099999999</v>
      </c>
    </row>
    <row r="6" spans="3:22" x14ac:dyDescent="0.3">
      <c r="C6" s="4">
        <v>30</v>
      </c>
      <c r="D6" s="4">
        <f>AVERAGE(J5:J8)</f>
        <v>17.0281725</v>
      </c>
      <c r="E6" s="4">
        <f>MIN(I5:I8)</f>
        <v>2119</v>
      </c>
      <c r="F6" s="4">
        <f>(E6-$E16)/$E16*100</f>
        <v>19.313063063063062</v>
      </c>
      <c r="I6">
        <v>2216</v>
      </c>
      <c r="J6">
        <f>6371657/1000000</f>
        <v>6.3716569999999999</v>
      </c>
      <c r="K6">
        <v>2037</v>
      </c>
      <c r="L6">
        <f>27826498/1000000</f>
        <v>27.826498000000001</v>
      </c>
      <c r="M6">
        <v>2078</v>
      </c>
      <c r="N6">
        <f>33805583/1000000</f>
        <v>33.805582999999999</v>
      </c>
      <c r="O6">
        <v>2138</v>
      </c>
      <c r="P6">
        <f>62361670/1000000</f>
        <v>62.361669999999997</v>
      </c>
      <c r="Q6">
        <v>1965</v>
      </c>
      <c r="R6">
        <f>62528111/1000000</f>
        <v>62.528111000000003</v>
      </c>
      <c r="S6">
        <v>2049</v>
      </c>
      <c r="T6">
        <v>161.253883</v>
      </c>
      <c r="U6">
        <v>2046</v>
      </c>
      <c r="V6">
        <f>313250771/1000000</f>
        <v>313.25077099999999</v>
      </c>
    </row>
    <row r="7" spans="3:22" x14ac:dyDescent="0.3">
      <c r="C7" s="5">
        <v>60</v>
      </c>
      <c r="D7" s="5">
        <f>AVERAGE(L5:L8)</f>
        <v>26.316925749999999</v>
      </c>
      <c r="E7" s="5">
        <f>MIN(K5:K8)</f>
        <v>2037</v>
      </c>
      <c r="F7" s="5">
        <f>(E7-$E16)/$E16*100</f>
        <v>14.695945945945946</v>
      </c>
      <c r="I7">
        <v>2177</v>
      </c>
      <c r="J7">
        <f>14496943/1000000</f>
        <v>14.496943</v>
      </c>
      <c r="K7">
        <v>2184</v>
      </c>
      <c r="L7">
        <f>22227629/1000000</f>
        <v>22.227629</v>
      </c>
      <c r="M7">
        <v>1965</v>
      </c>
      <c r="N7">
        <f>54377441/1000000</f>
        <v>54.377440999999997</v>
      </c>
      <c r="O7">
        <v>2037</v>
      </c>
      <c r="P7">
        <f>54377441/1000000</f>
        <v>54.377440999999997</v>
      </c>
      <c r="Q7">
        <v>2049</v>
      </c>
      <c r="R7">
        <f>161253883/1000000</f>
        <v>161.253883</v>
      </c>
      <c r="S7">
        <v>2380</v>
      </c>
      <c r="T7">
        <f>213250771/1000000</f>
        <v>213.25077099999999</v>
      </c>
      <c r="U7">
        <v>2047</v>
      </c>
      <c r="V7">
        <f>239983263/1000000</f>
        <v>239.98326299999999</v>
      </c>
    </row>
    <row r="8" spans="3:22" x14ac:dyDescent="0.3">
      <c r="C8" s="4">
        <v>120</v>
      </c>
      <c r="D8" s="4">
        <f>AVERAGE(N5:N8)</f>
        <v>50.828151750000004</v>
      </c>
      <c r="E8" s="4">
        <f>MIN(M5:M8)</f>
        <v>1965</v>
      </c>
      <c r="F8" s="4">
        <f>(E8-$E16)/$E16*100</f>
        <v>10.641891891891891</v>
      </c>
      <c r="I8">
        <v>2119</v>
      </c>
      <c r="J8">
        <f>18916057/1000000</f>
        <v>18.916056999999999</v>
      </c>
      <c r="K8">
        <v>2106</v>
      </c>
      <c r="L8">
        <f>26236167/1000000</f>
        <v>26.236166999999998</v>
      </c>
      <c r="M8">
        <v>2047</v>
      </c>
      <c r="N8">
        <f>52601472/1000000</f>
        <v>52.601472000000001</v>
      </c>
      <c r="O8">
        <v>2047</v>
      </c>
      <c r="P8">
        <f>52601472/1000000</f>
        <v>52.601472000000001</v>
      </c>
      <c r="Q8">
        <v>2138</v>
      </c>
      <c r="R8">
        <f>62528111/1000000</f>
        <v>62.528111000000003</v>
      </c>
      <c r="S8">
        <v>2184</v>
      </c>
      <c r="T8">
        <f>139983263/1000000</f>
        <v>139.98326299999999</v>
      </c>
      <c r="U8">
        <v>2012</v>
      </c>
      <c r="V8">
        <f>191867229/1000000</f>
        <v>191.86722900000001</v>
      </c>
    </row>
    <row r="9" spans="3:22" x14ac:dyDescent="0.3">
      <c r="C9" s="5">
        <v>180</v>
      </c>
      <c r="D9" s="5">
        <f>AVERAGE(P5:P8)</f>
        <v>57.967173500000001</v>
      </c>
      <c r="E9" s="5">
        <f>MIN(O5:O8)</f>
        <v>2037</v>
      </c>
      <c r="F9" s="5">
        <f>(E9-$E16)/$E16*100</f>
        <v>14.695945945945946</v>
      </c>
    </row>
    <row r="10" spans="3:22" x14ac:dyDescent="0.3">
      <c r="C10" s="4">
        <v>240</v>
      </c>
      <c r="D10" s="4">
        <f>AVERAGE(R5:R8)</f>
        <v>108.06875825</v>
      </c>
      <c r="E10" s="4">
        <f>MIN(Q5:Q8)</f>
        <v>1965</v>
      </c>
      <c r="F10" s="4">
        <f>(E10-$E16)/$E16*100</f>
        <v>10.641891891891891</v>
      </c>
    </row>
    <row r="11" spans="3:22" x14ac:dyDescent="0.3">
      <c r="C11" s="5">
        <v>300</v>
      </c>
      <c r="D11" s="5">
        <f>AVERAGE(T5:T8)</f>
        <v>190.11321124999998</v>
      </c>
      <c r="E11" s="5">
        <f>MIN(S5:S8)</f>
        <v>2049</v>
      </c>
      <c r="F11" s="5">
        <f>(E11-$E16)/$E16*100</f>
        <v>15.371621621621623</v>
      </c>
    </row>
    <row r="12" spans="3:22" x14ac:dyDescent="0.3">
      <c r="C12" s="4">
        <v>360</v>
      </c>
      <c r="D12" s="4">
        <f>AVERAGE(V5:V8)</f>
        <v>239.5880085</v>
      </c>
      <c r="E12" s="4">
        <f>MIN(U5:U8)</f>
        <v>2012</v>
      </c>
      <c r="F12" s="4">
        <f>(E12-$E16)/$E16*100</f>
        <v>13.288288288288289</v>
      </c>
    </row>
    <row r="16" spans="3:22" x14ac:dyDescent="0.3">
      <c r="D16" t="s">
        <v>3</v>
      </c>
      <c r="E16">
        <v>1776</v>
      </c>
    </row>
    <row r="19" spans="3:4" x14ac:dyDescent="0.3">
      <c r="C19">
        <v>13.808135</v>
      </c>
      <c r="D19" s="2">
        <v>9.4594594594594597</v>
      </c>
    </row>
    <row r="20" spans="3:4" x14ac:dyDescent="0.3">
      <c r="C20">
        <v>34.083964250000001</v>
      </c>
      <c r="D20" s="2">
        <v>9.0653153153153152</v>
      </c>
    </row>
    <row r="21" spans="3:4" x14ac:dyDescent="0.3">
      <c r="C21">
        <v>46.258099999999999</v>
      </c>
      <c r="D21" s="2">
        <v>4.8423423423423424</v>
      </c>
    </row>
    <row r="22" spans="3:4" x14ac:dyDescent="0.3">
      <c r="C22">
        <v>71.328037499999994</v>
      </c>
      <c r="D22" s="2">
        <v>10.078828828828829</v>
      </c>
    </row>
    <row r="23" spans="3:4" x14ac:dyDescent="0.3">
      <c r="C23">
        <v>76.031625000000005</v>
      </c>
      <c r="D23" s="2">
        <v>7.5450450450450459</v>
      </c>
    </row>
    <row r="24" spans="3:4" x14ac:dyDescent="0.3">
      <c r="C24">
        <v>81.431174999999996</v>
      </c>
      <c r="D24" s="2">
        <v>3.4346846846846848</v>
      </c>
    </row>
    <row r="25" spans="3:4" x14ac:dyDescent="0.3">
      <c r="C25">
        <v>101.834025</v>
      </c>
      <c r="D25" s="2">
        <v>6.531531531531531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C752-4381-46E1-AB5D-7FAC0DA57564}">
  <dimension ref="C4:U22"/>
  <sheetViews>
    <sheetView topLeftCell="B1" workbookViewId="0">
      <selection activeCell="M12" sqref="M12"/>
    </sheetView>
  </sheetViews>
  <sheetFormatPr defaultColWidth="9.109375" defaultRowHeight="14.4" x14ac:dyDescent="0.3"/>
  <cols>
    <col min="1" max="1" width="9.109375" style="1"/>
    <col min="2" max="2" width="11.5546875" style="1" customWidth="1"/>
    <col min="3" max="3" width="9.88671875" style="1" customWidth="1"/>
    <col min="4" max="4" width="9.88671875" style="1" bestFit="1" customWidth="1"/>
    <col min="5" max="5" width="10.21875" style="1" customWidth="1"/>
    <col min="6" max="6" width="10.109375" style="1" bestFit="1" customWidth="1"/>
    <col min="7" max="8" width="9.109375" style="1"/>
    <col min="9" max="9" width="9.33203125" style="1" bestFit="1" customWidth="1"/>
    <col min="10" max="10" width="9.109375" style="1"/>
    <col min="11" max="13" width="9.33203125" style="1" bestFit="1" customWidth="1"/>
    <col min="14" max="14" width="9.109375" style="1"/>
    <col min="15" max="15" width="10.5546875" style="1" bestFit="1" customWidth="1"/>
    <col min="16" max="16" width="9.109375" style="1"/>
    <col min="17" max="17" width="9.33203125" style="1" bestFit="1" customWidth="1"/>
    <col min="18" max="18" width="9.109375" style="1"/>
    <col min="19" max="19" width="12" style="1" bestFit="1" customWidth="1"/>
    <col min="20" max="20" width="9.109375" style="1"/>
    <col min="21" max="21" width="12" style="1" bestFit="1" customWidth="1"/>
    <col min="22" max="22" width="9.109375" style="1"/>
    <col min="23" max="23" width="9.33203125" style="1" bestFit="1" customWidth="1"/>
    <col min="24" max="16384" width="9.109375" style="1"/>
  </cols>
  <sheetData>
    <row r="4" spans="3:21" x14ac:dyDescent="0.3">
      <c r="C4" s="13" t="s">
        <v>42</v>
      </c>
      <c r="D4" s="13" t="s">
        <v>41</v>
      </c>
      <c r="E4" s="13" t="s">
        <v>4</v>
      </c>
      <c r="F4" s="13"/>
      <c r="G4" s="6" t="s">
        <v>40</v>
      </c>
    </row>
    <row r="5" spans="3:21" x14ac:dyDescent="0.3">
      <c r="C5" s="14"/>
      <c r="D5" s="14"/>
      <c r="E5" s="14"/>
      <c r="F5" s="14"/>
      <c r="G5" s="5"/>
      <c r="I5" s="1">
        <v>30</v>
      </c>
      <c r="K5" s="1">
        <v>60</v>
      </c>
      <c r="M5" s="1">
        <v>120</v>
      </c>
      <c r="O5" s="1">
        <v>180</v>
      </c>
      <c r="Q5" s="1">
        <v>240</v>
      </c>
      <c r="S5" s="1">
        <v>300</v>
      </c>
      <c r="U5" s="1">
        <v>360</v>
      </c>
    </row>
    <row r="6" spans="3:21" x14ac:dyDescent="0.3">
      <c r="C6" s="15">
        <v>30</v>
      </c>
      <c r="D6" s="4">
        <f>AVERAGE(I6:I9)</f>
        <v>6.4584207499999993</v>
      </c>
      <c r="E6" s="4">
        <f>MIN(H6:H9)</f>
        <v>5017</v>
      </c>
      <c r="F6" s="15"/>
      <c r="G6" s="4">
        <f>(E6-$E$21)/$E$21*100</f>
        <v>82.10526315789474</v>
      </c>
      <c r="H6" s="1">
        <v>5034</v>
      </c>
      <c r="I6" s="1">
        <f>2411342/1000000</f>
        <v>2.4113419999999999</v>
      </c>
      <c r="J6" s="1">
        <v>4954</v>
      </c>
      <c r="K6" s="1">
        <f>18787302/1000000</f>
        <v>18.787302</v>
      </c>
      <c r="L6" s="1">
        <v>4954</v>
      </c>
      <c r="M6" s="1">
        <f>18787302/1000000</f>
        <v>18.787302</v>
      </c>
      <c r="N6" s="1">
        <v>4826</v>
      </c>
      <c r="O6" s="1">
        <f>15598985/1000000</f>
        <v>15.598985000000001</v>
      </c>
      <c r="P6" s="1">
        <v>5031</v>
      </c>
      <c r="Q6" s="1">
        <f>38726333/1000000</f>
        <v>38.726332999999997</v>
      </c>
      <c r="R6" s="1">
        <v>4982</v>
      </c>
      <c r="S6" s="1">
        <f>37049630/1000000</f>
        <v>37.049630000000001</v>
      </c>
      <c r="T6" s="1">
        <v>3769</v>
      </c>
      <c r="U6" s="1">
        <f>185687229/1000000</f>
        <v>185.687229</v>
      </c>
    </row>
    <row r="7" spans="3:21" x14ac:dyDescent="0.3">
      <c r="C7" s="14">
        <v>60</v>
      </c>
      <c r="D7" s="5">
        <f>AVERAGE(K6:K8)</f>
        <v>13.263025333333331</v>
      </c>
      <c r="E7" s="5">
        <f>MIN(J6:J9)</f>
        <v>4954</v>
      </c>
      <c r="F7" s="14"/>
      <c r="G7" s="5">
        <f>(E7-$E$21)/$E$21*100</f>
        <v>79.818511796733219</v>
      </c>
      <c r="H7" s="1">
        <v>5034</v>
      </c>
      <c r="I7" s="1">
        <f>2421962/1000000</f>
        <v>2.4219620000000002</v>
      </c>
      <c r="J7" s="1">
        <v>5017</v>
      </c>
      <c r="K7" s="1">
        <f>242196/100000</f>
        <v>2.4219599999999999</v>
      </c>
      <c r="L7" s="1">
        <v>4873</v>
      </c>
      <c r="M7" s="1">
        <f>2421962/100000</f>
        <v>24.219619999999999</v>
      </c>
      <c r="N7" s="1">
        <v>4873</v>
      </c>
      <c r="O7" s="1">
        <f>245252/100000</f>
        <v>2.4525199999999998</v>
      </c>
      <c r="P7" s="1">
        <v>5034</v>
      </c>
      <c r="Q7" s="1">
        <f>27044530/1000000</f>
        <v>27.044530000000002</v>
      </c>
      <c r="R7" s="1">
        <v>5034</v>
      </c>
      <c r="S7" s="1">
        <f>37496300/1000000</f>
        <v>37.496299999999998</v>
      </c>
      <c r="T7" s="1">
        <v>3668</v>
      </c>
      <c r="U7" s="1">
        <f>2369620/1000000</f>
        <v>2.3696199999999998</v>
      </c>
    </row>
    <row r="8" spans="3:21" x14ac:dyDescent="0.3">
      <c r="C8" s="15">
        <v>120</v>
      </c>
      <c r="D8" s="4">
        <f>AVERAGE(M6:M8)</f>
        <v>20.528912000000002</v>
      </c>
      <c r="E8" s="4">
        <f>MIN(L6:L8)</f>
        <v>4873</v>
      </c>
      <c r="F8" s="15"/>
      <c r="G8" s="4">
        <f t="shared" ref="G7:G12" si="0">(E8-$E$21)/$E$21*100</f>
        <v>76.878402903811249</v>
      </c>
      <c r="H8" s="1">
        <v>5034</v>
      </c>
      <c r="I8" s="1">
        <f>18579814/1000000</f>
        <v>18.579813999999999</v>
      </c>
      <c r="J8" s="1">
        <v>5034</v>
      </c>
      <c r="K8" s="1">
        <f>18579814/1000000</f>
        <v>18.579813999999999</v>
      </c>
      <c r="L8" s="1">
        <v>5034</v>
      </c>
      <c r="M8" s="1">
        <f>18579814/1000000</f>
        <v>18.579813999999999</v>
      </c>
      <c r="N8" s="1">
        <v>5034</v>
      </c>
      <c r="O8">
        <f>2405252/100000</f>
        <v>24.052520000000001</v>
      </c>
      <c r="P8" s="1">
        <v>4865</v>
      </c>
      <c r="Q8" s="1">
        <f>22304652/1000000</f>
        <v>22.304652000000001</v>
      </c>
      <c r="R8" s="1">
        <v>5034</v>
      </c>
      <c r="S8" s="1">
        <f>23090012/1000000</f>
        <v>23.090012000000002</v>
      </c>
      <c r="T8" s="1">
        <v>3652</v>
      </c>
      <c r="U8" s="1">
        <f>2418442/1000000</f>
        <v>2.4184420000000002</v>
      </c>
    </row>
    <row r="9" spans="3:21" x14ac:dyDescent="0.3">
      <c r="C9" s="14">
        <v>180</v>
      </c>
      <c r="D9" s="5">
        <f>AVERAGE(O6:O9)</f>
        <v>28.290519250000003</v>
      </c>
      <c r="E9" s="5">
        <f>MIN(N6:N9)</f>
        <v>4826</v>
      </c>
      <c r="F9" s="14"/>
      <c r="G9" s="5">
        <f t="shared" si="0"/>
        <v>75.172413793103445</v>
      </c>
      <c r="H9" s="1">
        <v>5017</v>
      </c>
      <c r="I9" s="1">
        <f>2420565/1000000</f>
        <v>2.4205649999999999</v>
      </c>
      <c r="J9" s="1">
        <v>5017</v>
      </c>
      <c r="K9" s="1">
        <f>2420565/100000</f>
        <v>24.205649999999999</v>
      </c>
      <c r="N9" s="1">
        <v>5034</v>
      </c>
      <c r="O9" s="1">
        <f>71058052/1000000</f>
        <v>71.058052000000004</v>
      </c>
    </row>
    <row r="10" spans="3:21" x14ac:dyDescent="0.3">
      <c r="C10" s="15">
        <v>240</v>
      </c>
      <c r="D10" s="4">
        <f>AVERAGE(Q6:Q8)</f>
        <v>29.358504999999997</v>
      </c>
      <c r="E10" s="4">
        <f>MIN(P6:P8)</f>
        <v>4865</v>
      </c>
      <c r="F10" s="15"/>
      <c r="G10" s="4">
        <f t="shared" si="0"/>
        <v>76.588021778584391</v>
      </c>
    </row>
    <row r="11" spans="3:21" x14ac:dyDescent="0.3">
      <c r="C11" s="14">
        <v>300</v>
      </c>
      <c r="D11" s="5">
        <f>AVERAGE(S6:S8)</f>
        <v>32.545313999999998</v>
      </c>
      <c r="E11" s="5">
        <f>MIN(R6:R9)</f>
        <v>4982</v>
      </c>
      <c r="F11" s="14"/>
      <c r="G11" s="5">
        <f t="shared" si="0"/>
        <v>80.83484573502723</v>
      </c>
    </row>
    <row r="12" spans="3:21" x14ac:dyDescent="0.3">
      <c r="C12" s="15">
        <v>360</v>
      </c>
      <c r="D12" s="15">
        <f>AVERAGE(U6:U8)</f>
        <v>63.491763666666664</v>
      </c>
      <c r="E12" s="4">
        <f>MIN(T6:T8)</f>
        <v>3652</v>
      </c>
      <c r="F12" s="15"/>
      <c r="G12" s="4">
        <f t="shared" si="0"/>
        <v>32.558983666061707</v>
      </c>
    </row>
    <row r="13" spans="3:21" x14ac:dyDescent="0.3">
      <c r="G13"/>
    </row>
    <row r="16" spans="3:21" x14ac:dyDescent="0.3">
      <c r="C16" s="1">
        <v>8.3998066666666666</v>
      </c>
      <c r="D16" s="1">
        <v>32.558983666061707</v>
      </c>
    </row>
    <row r="17" spans="3:5" x14ac:dyDescent="0.3">
      <c r="C17" s="1">
        <v>12.3461</v>
      </c>
      <c r="D17" s="1">
        <v>40.798548094373864</v>
      </c>
    </row>
    <row r="18" spans="3:5" x14ac:dyDescent="0.3">
      <c r="C18" s="1">
        <v>13.316800000000001</v>
      </c>
      <c r="D18" s="1">
        <v>22.395644283121598</v>
      </c>
    </row>
    <row r="19" spans="3:5" x14ac:dyDescent="0.3">
      <c r="C19" s="1">
        <v>15.442296666666666</v>
      </c>
      <c r="D19" s="1">
        <v>36.333938294010885</v>
      </c>
    </row>
    <row r="20" spans="3:5" x14ac:dyDescent="0.3">
      <c r="C20" s="1">
        <v>19.149706666666663</v>
      </c>
      <c r="D20" s="1">
        <v>33.176043557168782</v>
      </c>
      <c r="E20" s="1" t="s">
        <v>5</v>
      </c>
    </row>
    <row r="21" spans="3:5" x14ac:dyDescent="0.3">
      <c r="C21" s="1">
        <v>34.071833333333338</v>
      </c>
      <c r="D21" s="1">
        <v>30.490018148820326</v>
      </c>
      <c r="E21" s="1">
        <v>2755</v>
      </c>
    </row>
    <row r="22" spans="3:5" x14ac:dyDescent="0.3">
      <c r="C22" s="1">
        <v>135.91153333333332</v>
      </c>
      <c r="D22" s="1">
        <v>29.29219600725953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A07A-3B46-429C-B6B7-92A9E096125F}">
  <dimension ref="C4:U16"/>
  <sheetViews>
    <sheetView workbookViewId="0">
      <selection activeCell="M12" sqref="M12"/>
    </sheetView>
  </sheetViews>
  <sheetFormatPr defaultRowHeight="14.4" x14ac:dyDescent="0.3"/>
  <cols>
    <col min="2" max="2" width="3.21875" customWidth="1"/>
    <col min="3" max="3" width="12.44140625" customWidth="1"/>
    <col min="4" max="4" width="11" bestFit="1" customWidth="1"/>
  </cols>
  <sheetData>
    <row r="4" spans="3:21" x14ac:dyDescent="0.3">
      <c r="C4" s="13" t="s">
        <v>42</v>
      </c>
      <c r="D4" s="13" t="s">
        <v>0</v>
      </c>
      <c r="E4" s="13" t="s">
        <v>4</v>
      </c>
      <c r="F4" s="13"/>
      <c r="G4" s="13" t="s">
        <v>2</v>
      </c>
    </row>
    <row r="5" spans="3:21" x14ac:dyDescent="0.3">
      <c r="C5" s="14"/>
      <c r="D5" s="14"/>
      <c r="E5" s="14"/>
      <c r="F5" s="14"/>
      <c r="G5" s="14"/>
      <c r="I5">
        <v>30</v>
      </c>
      <c r="K5">
        <v>60</v>
      </c>
      <c r="M5">
        <v>120</v>
      </c>
      <c r="O5">
        <v>180</v>
      </c>
      <c r="Q5">
        <v>240</v>
      </c>
      <c r="S5">
        <v>300</v>
      </c>
      <c r="U5">
        <v>360</v>
      </c>
    </row>
    <row r="6" spans="3:21" x14ac:dyDescent="0.3">
      <c r="C6" s="15">
        <v>30</v>
      </c>
      <c r="D6" s="4">
        <f>AVERAGE(I6:I9)</f>
        <v>29.537668666666672</v>
      </c>
      <c r="E6" s="4">
        <f>MIN(H6:H9)</f>
        <v>2814</v>
      </c>
      <c r="F6" s="15"/>
      <c r="G6" s="4">
        <f>(E6-$E$16)/$E$16*100</f>
        <v>14.158215010141989</v>
      </c>
      <c r="H6" s="1">
        <v>2814</v>
      </c>
      <c r="I6" s="1">
        <f>29451438/1000000</f>
        <v>29.451438</v>
      </c>
      <c r="J6" s="1">
        <v>2786</v>
      </c>
      <c r="K6" s="1">
        <f>49605855/1000000</f>
        <v>49.605854999999998</v>
      </c>
      <c r="L6" s="1">
        <v>2786</v>
      </c>
      <c r="M6" s="1">
        <f>49605855/1000000</f>
        <v>49.605854999999998</v>
      </c>
      <c r="N6" s="1">
        <v>2786</v>
      </c>
      <c r="O6" s="1">
        <f>48486088/1000000</f>
        <v>48.486088000000002</v>
      </c>
      <c r="P6" s="1">
        <v>2786</v>
      </c>
      <c r="Q6" s="1">
        <f>48020172/1000000</f>
        <v>48.020172000000002</v>
      </c>
      <c r="R6" s="1">
        <v>2786</v>
      </c>
      <c r="S6" s="1">
        <f>52921952/1000000</f>
        <v>52.921951999999997</v>
      </c>
      <c r="T6" s="1">
        <v>2783</v>
      </c>
      <c r="U6" s="1">
        <f>339110204/1000000</f>
        <v>339.11020400000001</v>
      </c>
    </row>
    <row r="7" spans="3:21" x14ac:dyDescent="0.3">
      <c r="C7" s="14">
        <v>60</v>
      </c>
      <c r="D7" s="5">
        <f>AVERAGE(I6:I8)</f>
        <v>29.537668666666672</v>
      </c>
      <c r="E7" s="5">
        <f>MIN(J6:J9)</f>
        <v>2786</v>
      </c>
      <c r="F7" s="14"/>
      <c r="G7" s="5">
        <f>(E7-$E$16)/$E$16*100</f>
        <v>13.022312373225153</v>
      </c>
      <c r="H7" s="1">
        <v>2814</v>
      </c>
      <c r="I7" s="1">
        <f>29580784/1000000</f>
        <v>29.580784000000001</v>
      </c>
      <c r="J7" s="1">
        <v>2786</v>
      </c>
      <c r="K7" s="1">
        <f>48502294/1000000</f>
        <v>48.502293999999999</v>
      </c>
      <c r="L7" s="1">
        <v>2786</v>
      </c>
      <c r="M7" s="1">
        <f>48502294/1000000</f>
        <v>48.502293999999999</v>
      </c>
      <c r="N7" s="1">
        <v>2786</v>
      </c>
      <c r="O7" s="1">
        <f>48681359/1000000</f>
        <v>48.681359</v>
      </c>
      <c r="P7" s="1">
        <v>2786</v>
      </c>
      <c r="Q7" s="1">
        <f>48228559/1000000</f>
        <v>48.228558999999997</v>
      </c>
      <c r="R7" s="1">
        <v>2786</v>
      </c>
      <c r="S7" s="1">
        <f>52921952/1000000</f>
        <v>52.921951999999997</v>
      </c>
      <c r="T7" s="1">
        <v>2785</v>
      </c>
      <c r="U7" s="1">
        <f>337858639/1000000</f>
        <v>337.85863899999998</v>
      </c>
    </row>
    <row r="8" spans="3:21" x14ac:dyDescent="0.3">
      <c r="C8" s="15">
        <v>120</v>
      </c>
      <c r="D8" s="4">
        <f>AVERAGE(K6:K8)</f>
        <v>48.890340333333334</v>
      </c>
      <c r="E8" s="4">
        <f>MIN(L6:L8)</f>
        <v>2786</v>
      </c>
      <c r="F8" s="15"/>
      <c r="G8" s="4">
        <f>(E8-$E$16)/$E$16*100</f>
        <v>13.022312373225153</v>
      </c>
      <c r="H8" s="1">
        <v>2814</v>
      </c>
      <c r="I8" s="1">
        <f>29580784/1000000</f>
        <v>29.580784000000001</v>
      </c>
      <c r="J8" s="1">
        <v>2786</v>
      </c>
      <c r="K8" s="1">
        <f>48562872/1000000</f>
        <v>48.562871999999999</v>
      </c>
      <c r="L8" s="1">
        <v>2786</v>
      </c>
      <c r="M8" s="1">
        <f>48562872/1000000</f>
        <v>48.562871999999999</v>
      </c>
      <c r="N8" s="1">
        <v>2786</v>
      </c>
      <c r="O8" s="1">
        <f>48077993/1000000</f>
        <v>48.077992999999999</v>
      </c>
      <c r="P8" s="1">
        <v>2786</v>
      </c>
      <c r="Q8" s="1">
        <f>47911870/1000000</f>
        <v>47.91187</v>
      </c>
      <c r="R8" s="1">
        <v>2786</v>
      </c>
      <c r="S8" s="1">
        <f>52921952/1000000</f>
        <v>52.921951999999997</v>
      </c>
      <c r="T8" s="1">
        <v>2781</v>
      </c>
      <c r="U8" s="1">
        <f>340460113/1000000</f>
        <v>340.46011299999998</v>
      </c>
    </row>
    <row r="9" spans="3:21" x14ac:dyDescent="0.3">
      <c r="C9" s="14">
        <v>180</v>
      </c>
      <c r="D9" s="5">
        <f>AVERAGE(O6:O9)</f>
        <v>48.415146666666665</v>
      </c>
      <c r="E9" s="5">
        <f>MIN(N6:N9)</f>
        <v>2786</v>
      </c>
      <c r="F9" s="14"/>
      <c r="G9" s="5">
        <f t="shared" ref="G8:G12" si="0">(E9-$E$16)/$E$16*100</f>
        <v>13.022312373225153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3:21" x14ac:dyDescent="0.3">
      <c r="C10" s="15">
        <v>240</v>
      </c>
      <c r="D10" s="4">
        <f>AVERAGE(Q6:Q8)</f>
        <v>48.053533666666659</v>
      </c>
      <c r="E10" s="4">
        <f>MIN(N6:N8)</f>
        <v>2786</v>
      </c>
      <c r="F10" s="15"/>
      <c r="G10" s="4">
        <f t="shared" si="0"/>
        <v>13.022312373225153</v>
      </c>
      <c r="I10" s="1"/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4">
        <v>300</v>
      </c>
      <c r="D11" s="5">
        <f>AVERAGE(S6:S8)</f>
        <v>52.921951999999997</v>
      </c>
      <c r="E11" s="5">
        <f>MIN(R6:R9)</f>
        <v>2786</v>
      </c>
      <c r="F11" s="14"/>
      <c r="G11" s="5">
        <f t="shared" si="0"/>
        <v>13.022312373225153</v>
      </c>
    </row>
    <row r="12" spans="3:21" x14ac:dyDescent="0.3">
      <c r="C12" s="15">
        <v>360</v>
      </c>
      <c r="D12" s="15">
        <f>AVERAGE(U6:U8)</f>
        <v>339.14298533333334</v>
      </c>
      <c r="E12" s="4">
        <f>MIN(T6:T8)</f>
        <v>2781</v>
      </c>
      <c r="F12" s="15"/>
      <c r="G12" s="4">
        <f t="shared" si="0"/>
        <v>12.81947261663286</v>
      </c>
    </row>
    <row r="16" spans="3:21" x14ac:dyDescent="0.3">
      <c r="D16" t="s">
        <v>6</v>
      </c>
      <c r="E16">
        <v>2465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A561-72F6-4E0E-827E-F3D1DC20808D}">
  <dimension ref="C2:H22"/>
  <sheetViews>
    <sheetView workbookViewId="0">
      <selection activeCell="C4" sqref="C4:H14"/>
    </sheetView>
  </sheetViews>
  <sheetFormatPr defaultRowHeight="14.4" x14ac:dyDescent="0.3"/>
  <cols>
    <col min="3" max="3" width="10.44140625" bestFit="1" customWidth="1"/>
    <col min="4" max="4" width="12.5546875" customWidth="1"/>
    <col min="5" max="5" width="14.88671875" customWidth="1"/>
    <col min="7" max="7" width="16.5546875" bestFit="1" customWidth="1"/>
    <col min="8" max="8" width="9.88671875" bestFit="1" customWidth="1"/>
  </cols>
  <sheetData>
    <row r="2" spans="3:8" x14ac:dyDescent="0.3">
      <c r="H2">
        <v>1776</v>
      </c>
    </row>
    <row r="4" spans="3:8" ht="57.6" x14ac:dyDescent="0.3">
      <c r="C4" s="12" t="s">
        <v>7</v>
      </c>
      <c r="D4" s="12" t="s">
        <v>8</v>
      </c>
      <c r="E4" s="12" t="s">
        <v>9</v>
      </c>
      <c r="F4" s="12" t="s">
        <v>10</v>
      </c>
      <c r="G4" s="12" t="s">
        <v>43</v>
      </c>
      <c r="H4" s="12" t="s">
        <v>40</v>
      </c>
    </row>
    <row r="5" spans="3:8" x14ac:dyDescent="0.3">
      <c r="C5" s="5">
        <v>42890</v>
      </c>
      <c r="D5" s="5">
        <v>0.55000000000000004</v>
      </c>
      <c r="E5" s="5" t="s">
        <v>12</v>
      </c>
      <c r="F5" s="8">
        <v>5601</v>
      </c>
      <c r="G5" s="9">
        <f>1390/1000000</f>
        <v>1.39E-3</v>
      </c>
      <c r="H5" s="5">
        <f>(F5-H2)/H2*100</f>
        <v>215.37162162162161</v>
      </c>
    </row>
    <row r="6" spans="3:8" x14ac:dyDescent="0.3">
      <c r="C6" s="4">
        <v>42890</v>
      </c>
      <c r="D6" s="4">
        <v>0.6</v>
      </c>
      <c r="E6" s="4" t="s">
        <v>13</v>
      </c>
      <c r="F6" s="10">
        <v>5430</v>
      </c>
      <c r="G6" s="11">
        <f>1127/1000000</f>
        <v>1.127E-3</v>
      </c>
      <c r="H6" s="4">
        <f>(F6-H2)/H2*100</f>
        <v>205.74324324324326</v>
      </c>
    </row>
    <row r="7" spans="3:8" x14ac:dyDescent="0.3">
      <c r="C7" s="5">
        <v>42890</v>
      </c>
      <c r="D7" s="5">
        <v>0.65</v>
      </c>
      <c r="E7" s="5" t="s">
        <v>14</v>
      </c>
      <c r="F7" s="8">
        <v>5269</v>
      </c>
      <c r="G7" s="9">
        <f>1513/1000000</f>
        <v>1.513E-3</v>
      </c>
      <c r="H7" s="5">
        <f>(F7-H2)/H2*100</f>
        <v>196.67792792792793</v>
      </c>
    </row>
    <row r="8" spans="3:8" x14ac:dyDescent="0.3">
      <c r="C8" s="4">
        <v>42890</v>
      </c>
      <c r="D8" s="4">
        <v>0.7</v>
      </c>
      <c r="E8" s="4" t="s">
        <v>15</v>
      </c>
      <c r="F8" s="10">
        <v>5273</v>
      </c>
      <c r="G8" s="11">
        <f>1545/1000000</f>
        <v>1.5449999999999999E-3</v>
      </c>
      <c r="H8" s="4">
        <f>(F8-H2)/H2*100</f>
        <v>196.90315315315314</v>
      </c>
    </row>
    <row r="9" spans="3:8" x14ac:dyDescent="0.3">
      <c r="C9" s="5">
        <v>42890</v>
      </c>
      <c r="D9" s="5">
        <v>0.75</v>
      </c>
      <c r="E9" s="5" t="s">
        <v>16</v>
      </c>
      <c r="F9" s="8">
        <v>5175</v>
      </c>
      <c r="G9" s="9">
        <f>1786/1000000</f>
        <v>1.786E-3</v>
      </c>
      <c r="H9" s="5">
        <f>(F9-H2)/H2*100</f>
        <v>191.38513513513513</v>
      </c>
    </row>
    <row r="10" spans="3:8" x14ac:dyDescent="0.3">
      <c r="C10" s="4">
        <v>42890</v>
      </c>
      <c r="D10" s="4">
        <v>0.8</v>
      </c>
      <c r="E10" s="4" t="s">
        <v>17</v>
      </c>
      <c r="F10" s="10">
        <v>4955</v>
      </c>
      <c r="G10" s="11">
        <f>2288/1000000</f>
        <v>2.2880000000000001E-3</v>
      </c>
      <c r="H10" s="4">
        <f>(F10-H2)/H2*100</f>
        <v>178.99774774774775</v>
      </c>
    </row>
    <row r="11" spans="3:8" x14ac:dyDescent="0.3">
      <c r="C11" s="5">
        <v>42890</v>
      </c>
      <c r="D11" s="5">
        <v>0.85</v>
      </c>
      <c r="E11" s="5" t="s">
        <v>18</v>
      </c>
      <c r="F11" s="5">
        <v>4831</v>
      </c>
      <c r="G11" s="9">
        <f>3902/1000000</f>
        <v>3.9020000000000001E-3</v>
      </c>
      <c r="H11" s="5">
        <f>(F11-H2)/H2*100</f>
        <v>172.01576576576576</v>
      </c>
    </row>
    <row r="12" spans="3:8" x14ac:dyDescent="0.3">
      <c r="C12" s="4">
        <v>42890</v>
      </c>
      <c r="D12" s="4">
        <v>0.9</v>
      </c>
      <c r="E12" s="4" t="s">
        <v>19</v>
      </c>
      <c r="F12" s="4">
        <v>4534</v>
      </c>
      <c r="G12" s="11">
        <f>4540/1000000</f>
        <v>4.5399999999999998E-3</v>
      </c>
      <c r="H12" s="4">
        <f>(F12-H2)/H2*100</f>
        <v>155.2927927927928</v>
      </c>
    </row>
    <row r="13" spans="3:8" x14ac:dyDescent="0.3">
      <c r="C13" s="5">
        <v>42890</v>
      </c>
      <c r="D13" s="5">
        <v>0.95</v>
      </c>
      <c r="E13" s="5" t="s">
        <v>12</v>
      </c>
      <c r="F13" s="5">
        <v>4262</v>
      </c>
      <c r="G13" s="9">
        <f>9233/1000000</f>
        <v>9.2329999999999999E-3</v>
      </c>
      <c r="H13" s="5">
        <f>(F13-H2)/H2*100</f>
        <v>139.97747747747749</v>
      </c>
    </row>
    <row r="14" spans="3:8" x14ac:dyDescent="0.3">
      <c r="C14" s="4">
        <v>42890</v>
      </c>
      <c r="D14" s="4">
        <v>0.999</v>
      </c>
      <c r="E14" s="4" t="s">
        <v>12</v>
      </c>
      <c r="F14" s="4">
        <v>2731</v>
      </c>
      <c r="G14" s="11">
        <f>497843/1000000</f>
        <v>0.49784299999999998</v>
      </c>
      <c r="H14" s="4">
        <f>(F14-H2)/H2*100</f>
        <v>53.772522522522529</v>
      </c>
    </row>
    <row r="17" spans="4:5" x14ac:dyDescent="0.3">
      <c r="D17" s="3">
        <v>0.354827</v>
      </c>
      <c r="E17" s="2">
        <v>50.337837837837839</v>
      </c>
    </row>
    <row r="18" spans="4:5" x14ac:dyDescent="0.3">
      <c r="D18" s="3">
        <v>0.39572499999999999</v>
      </c>
      <c r="E18" s="2">
        <v>40.315315315315317</v>
      </c>
    </row>
    <row r="19" spans="4:5" x14ac:dyDescent="0.3">
      <c r="D19" s="3">
        <v>0.42196099999999997</v>
      </c>
      <c r="E19" s="2">
        <v>46.846846846846844</v>
      </c>
    </row>
    <row r="20" spans="4:5" x14ac:dyDescent="0.3">
      <c r="D20" s="3">
        <v>0.66213599999999995</v>
      </c>
      <c r="E20" s="2">
        <v>15.090090090090092</v>
      </c>
    </row>
    <row r="21" spans="4:5" x14ac:dyDescent="0.3">
      <c r="D21" s="3">
        <v>0.69278899999999999</v>
      </c>
      <c r="E21" s="2">
        <v>30.292792792792795</v>
      </c>
    </row>
    <row r="22" spans="4:5" x14ac:dyDescent="0.3">
      <c r="D22" s="3">
        <v>15.0695</v>
      </c>
      <c r="E22" s="2">
        <v>20.777027027027025</v>
      </c>
    </row>
  </sheetData>
  <sortState xmlns:xlrd2="http://schemas.microsoft.com/office/spreadsheetml/2017/richdata2" ref="D17:E22">
    <sortCondition ref="D1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319E-8AEB-4473-ABF7-9C96B84C6865}">
  <dimension ref="C2:K23"/>
  <sheetViews>
    <sheetView workbookViewId="0">
      <selection activeCell="C4" sqref="C4:H14"/>
    </sheetView>
  </sheetViews>
  <sheetFormatPr defaultRowHeight="14.4" x14ac:dyDescent="0.3"/>
  <cols>
    <col min="5" max="5" width="15.5546875" customWidth="1"/>
    <col min="7" max="7" width="16.5546875" bestFit="1" customWidth="1"/>
  </cols>
  <sheetData>
    <row r="2" spans="3:11" x14ac:dyDescent="0.3">
      <c r="H2" s="1">
        <v>2755</v>
      </c>
    </row>
    <row r="4" spans="3:11" ht="57.6" x14ac:dyDescent="0.3"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2</v>
      </c>
    </row>
    <row r="5" spans="3:11" x14ac:dyDescent="0.3">
      <c r="C5" s="5">
        <v>71460</v>
      </c>
      <c r="D5" s="5">
        <v>0.55000000000000004</v>
      </c>
      <c r="E5" s="5" t="s">
        <v>20</v>
      </c>
      <c r="F5" s="8">
        <v>14715</v>
      </c>
      <c r="G5" s="9">
        <f>2321/K$5</f>
        <v>2.3210000000000001E-3</v>
      </c>
      <c r="H5" s="5">
        <f>(F5-H2)/H2*100</f>
        <v>434.11978221415603</v>
      </c>
      <c r="K5">
        <v>1000000</v>
      </c>
    </row>
    <row r="6" spans="3:11" x14ac:dyDescent="0.3">
      <c r="C6" s="4">
        <v>71460</v>
      </c>
      <c r="D6" s="4">
        <v>0.6</v>
      </c>
      <c r="E6" s="4" t="s">
        <v>21</v>
      </c>
      <c r="F6" s="10">
        <v>14623</v>
      </c>
      <c r="G6" s="11">
        <f>2645/1000000</f>
        <v>2.6450000000000002E-3</v>
      </c>
      <c r="H6" s="4">
        <f>(F6-H2)/H2*100</f>
        <v>430.78039927404717</v>
      </c>
    </row>
    <row r="7" spans="3:11" x14ac:dyDescent="0.3">
      <c r="C7" s="5">
        <v>71460</v>
      </c>
      <c r="D7" s="5">
        <v>0.65</v>
      </c>
      <c r="E7" s="5" t="s">
        <v>22</v>
      </c>
      <c r="F7" s="8">
        <v>14324</v>
      </c>
      <c r="G7" s="9">
        <f>2896/1000000</f>
        <v>2.8960000000000001E-3</v>
      </c>
      <c r="H7" s="5">
        <f>(F7-H2)/H2*100</f>
        <v>419.92740471869325</v>
      </c>
    </row>
    <row r="8" spans="3:11" x14ac:dyDescent="0.3">
      <c r="C8" s="4">
        <v>71460</v>
      </c>
      <c r="D8" s="4">
        <v>0.7</v>
      </c>
      <c r="E8" s="4" t="s">
        <v>23</v>
      </c>
      <c r="F8" s="10">
        <v>16027</v>
      </c>
      <c r="G8" s="11">
        <f>3229/1000000</f>
        <v>3.2290000000000001E-3</v>
      </c>
      <c r="H8" s="4">
        <f>(F8-H2)/H2*100</f>
        <v>481.74228675136118</v>
      </c>
    </row>
    <row r="9" spans="3:11" x14ac:dyDescent="0.3">
      <c r="C9" s="5">
        <v>71460</v>
      </c>
      <c r="D9" s="5">
        <v>0.75</v>
      </c>
      <c r="E9" s="5" t="s">
        <v>24</v>
      </c>
      <c r="F9" s="8">
        <v>16895</v>
      </c>
      <c r="G9" s="9">
        <f>4609/1000000</f>
        <v>4.6090000000000002E-3</v>
      </c>
      <c r="H9" s="5">
        <f>(F9-H2)/H2*100</f>
        <v>513.24863883847547</v>
      </c>
    </row>
    <row r="10" spans="3:11" x14ac:dyDescent="0.3">
      <c r="C10" s="4">
        <v>71460</v>
      </c>
      <c r="D10" s="4">
        <v>0.8</v>
      </c>
      <c r="E10" s="4" t="s">
        <v>25</v>
      </c>
      <c r="F10" s="10">
        <v>17637</v>
      </c>
      <c r="G10" s="11">
        <f>5402/1000000</f>
        <v>5.4019999999999997E-3</v>
      </c>
      <c r="H10" s="4">
        <f>(F10-H2)/H2*100</f>
        <v>540.18148820326678</v>
      </c>
    </row>
    <row r="11" spans="3:11" x14ac:dyDescent="0.3">
      <c r="C11" s="5">
        <v>71460</v>
      </c>
      <c r="D11" s="5">
        <v>0.85</v>
      </c>
      <c r="E11" s="5" t="s">
        <v>26</v>
      </c>
      <c r="F11" s="5">
        <v>20478</v>
      </c>
      <c r="G11" s="9">
        <f>8488/1000000</f>
        <v>8.4880000000000008E-3</v>
      </c>
      <c r="H11" s="5">
        <f>(F11-H2)/H2*100</f>
        <v>643.30308529945557</v>
      </c>
    </row>
    <row r="12" spans="3:11" x14ac:dyDescent="0.3">
      <c r="C12" s="4">
        <v>71460</v>
      </c>
      <c r="D12" s="4">
        <v>0.9</v>
      </c>
      <c r="E12" s="4" t="s">
        <v>27</v>
      </c>
      <c r="F12" s="4">
        <v>21004</v>
      </c>
      <c r="G12" s="11">
        <f>10778/1000000</f>
        <v>1.0777999999999999E-2</v>
      </c>
      <c r="H12" s="4">
        <f>(F12-H2)/H2*100</f>
        <v>662.39564428312156</v>
      </c>
    </row>
    <row r="13" spans="3:11" x14ac:dyDescent="0.3">
      <c r="C13" s="5">
        <v>71460</v>
      </c>
      <c r="D13" s="5">
        <v>0.95</v>
      </c>
      <c r="E13" s="5" t="s">
        <v>28</v>
      </c>
      <c r="F13" s="5">
        <v>19910</v>
      </c>
      <c r="G13" s="9">
        <f>24735/1000000</f>
        <v>2.4735E-2</v>
      </c>
      <c r="H13" s="5">
        <f>(F13-H2)/H2*100</f>
        <v>622.68602540834843</v>
      </c>
    </row>
    <row r="14" spans="3:11" x14ac:dyDescent="0.3">
      <c r="C14" s="4">
        <v>71460</v>
      </c>
      <c r="D14" s="4">
        <v>0.999</v>
      </c>
      <c r="E14" s="4" t="s">
        <v>29</v>
      </c>
      <c r="F14" s="4">
        <v>9056</v>
      </c>
      <c r="G14" s="11">
        <f>1430969/1000000</f>
        <v>1.4309689999999999</v>
      </c>
      <c r="H14" s="4">
        <f>(F14-H2)/H2*100</f>
        <v>228.71143375680583</v>
      </c>
    </row>
    <row r="18" spans="6:7" x14ac:dyDescent="0.3">
      <c r="F18" s="3">
        <v>0.42196099999999997</v>
      </c>
      <c r="G18">
        <v>108.34845735027223</v>
      </c>
    </row>
    <row r="19" spans="6:7" x14ac:dyDescent="0.3">
      <c r="F19" s="3">
        <v>10.5284</v>
      </c>
      <c r="G19">
        <v>107.15063520871144</v>
      </c>
    </row>
    <row r="20" spans="6:7" x14ac:dyDescent="0.3">
      <c r="F20" s="3">
        <v>12.385899999999999</v>
      </c>
      <c r="G20">
        <v>100.68965517241379</v>
      </c>
    </row>
    <row r="21" spans="6:7" x14ac:dyDescent="0.3">
      <c r="F21" s="3">
        <v>19.2956</v>
      </c>
      <c r="G21">
        <v>72.341197822141552</v>
      </c>
    </row>
    <row r="22" spans="6:7" x14ac:dyDescent="0.3">
      <c r="F22" s="3">
        <v>23.526299999999999</v>
      </c>
      <c r="G22">
        <v>88.421052631578945</v>
      </c>
    </row>
    <row r="23" spans="6:7" x14ac:dyDescent="0.3">
      <c r="F23" s="3">
        <v>544.91300000000001</v>
      </c>
      <c r="G23">
        <v>57.459165154264966</v>
      </c>
    </row>
  </sheetData>
  <sortState xmlns:xlrd2="http://schemas.microsoft.com/office/spreadsheetml/2017/richdata2" ref="F18:G23">
    <sortCondition ref="F1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BD7B-947B-43A1-9163-25EC76FEBE8D}">
  <dimension ref="C2:H24"/>
  <sheetViews>
    <sheetView workbookViewId="0">
      <selection activeCell="C4" sqref="C4:H14"/>
    </sheetView>
  </sheetViews>
  <sheetFormatPr defaultRowHeight="14.4" x14ac:dyDescent="0.3"/>
  <cols>
    <col min="5" max="5" width="13.77734375" customWidth="1"/>
    <col min="7" max="7" width="10.33203125" customWidth="1"/>
  </cols>
  <sheetData>
    <row r="2" spans="3:8" x14ac:dyDescent="0.3">
      <c r="H2">
        <v>2465</v>
      </c>
    </row>
    <row r="4" spans="3:8" ht="57.6" x14ac:dyDescent="0.3"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2</v>
      </c>
    </row>
    <row r="5" spans="3:8" x14ac:dyDescent="0.3">
      <c r="C5" s="5">
        <v>79560</v>
      </c>
      <c r="D5" s="5">
        <v>0.55000000000000004</v>
      </c>
      <c r="E5" s="5" t="s">
        <v>30</v>
      </c>
      <c r="F5" s="8">
        <v>7775</v>
      </c>
      <c r="G5" s="9">
        <f>4813/1000000</f>
        <v>4.8129999999999996E-3</v>
      </c>
      <c r="H5" s="5">
        <f>(F5-H2)/H2*100</f>
        <v>215.41582150101419</v>
      </c>
    </row>
    <row r="6" spans="3:8" x14ac:dyDescent="0.3">
      <c r="C6" s="4">
        <v>79560</v>
      </c>
      <c r="D6" s="4">
        <v>0.6</v>
      </c>
      <c r="E6" s="4" t="s">
        <v>31</v>
      </c>
      <c r="F6" s="10">
        <v>7727</v>
      </c>
      <c r="G6" s="11">
        <f>5573/1000000</f>
        <v>5.5729999999999998E-3</v>
      </c>
      <c r="H6" s="4">
        <f>(F6-H2)/H2*100</f>
        <v>213.46855983772821</v>
      </c>
    </row>
    <row r="7" spans="3:8" x14ac:dyDescent="0.3">
      <c r="C7" s="5">
        <v>79560</v>
      </c>
      <c r="D7" s="5">
        <v>0.65</v>
      </c>
      <c r="E7" s="5" t="s">
        <v>32</v>
      </c>
      <c r="F7" s="8">
        <v>7700</v>
      </c>
      <c r="G7" s="9">
        <f>5902/1000000</f>
        <v>5.9020000000000001E-3</v>
      </c>
      <c r="H7" s="5">
        <f>(F7-H2)/H2*100</f>
        <v>212.37322515212981</v>
      </c>
    </row>
    <row r="8" spans="3:8" x14ac:dyDescent="0.3">
      <c r="C8" s="4">
        <v>79560</v>
      </c>
      <c r="D8" s="4">
        <v>0.7</v>
      </c>
      <c r="E8" s="4" t="s">
        <v>33</v>
      </c>
      <c r="F8" s="10">
        <v>7551</v>
      </c>
      <c r="G8" s="11">
        <f>7385/1000000</f>
        <v>7.3850000000000001E-3</v>
      </c>
      <c r="H8" s="4">
        <f>(F8-H2)/H2*100</f>
        <v>206.32860040567951</v>
      </c>
    </row>
    <row r="9" spans="3:8" x14ac:dyDescent="0.3">
      <c r="C9" s="5">
        <v>79560</v>
      </c>
      <c r="D9" s="5">
        <v>0.75</v>
      </c>
      <c r="E9" s="5" t="s">
        <v>34</v>
      </c>
      <c r="F9" s="8">
        <v>7320</v>
      </c>
      <c r="G9" s="9">
        <f>8729/1000000</f>
        <v>8.7290000000000006E-3</v>
      </c>
      <c r="H9" s="5">
        <f>(F9-H2)/H2*100</f>
        <v>196.95740365111561</v>
      </c>
    </row>
    <row r="10" spans="3:8" x14ac:dyDescent="0.3">
      <c r="C10" s="4">
        <v>79560</v>
      </c>
      <c r="D10" s="4">
        <v>0.8</v>
      </c>
      <c r="E10" s="4" t="s">
        <v>35</v>
      </c>
      <c r="F10" s="10">
        <v>7370</v>
      </c>
      <c r="G10" s="11">
        <f>12855/1000000</f>
        <v>1.2855E-2</v>
      </c>
      <c r="H10" s="4">
        <f>(F10-H2)/H2*100</f>
        <v>198.98580121703856</v>
      </c>
    </row>
    <row r="11" spans="3:8" x14ac:dyDescent="0.3">
      <c r="C11" s="5">
        <v>79560</v>
      </c>
      <c r="D11" s="5">
        <v>0.85</v>
      </c>
      <c r="E11" s="5" t="s">
        <v>36</v>
      </c>
      <c r="F11" s="5">
        <v>7276</v>
      </c>
      <c r="G11" s="9">
        <f>16078/1000000</f>
        <v>1.6077999999999999E-2</v>
      </c>
      <c r="H11" s="5">
        <f>(F11-H2)/H2*100</f>
        <v>195.17241379310343</v>
      </c>
    </row>
    <row r="12" spans="3:8" x14ac:dyDescent="0.3">
      <c r="C12" s="4">
        <v>79560</v>
      </c>
      <c r="D12" s="4">
        <v>0.9</v>
      </c>
      <c r="E12" s="4" t="s">
        <v>37</v>
      </c>
      <c r="F12" s="4">
        <v>7181</v>
      </c>
      <c r="G12" s="11">
        <f>24888/1000000</f>
        <v>2.4888E-2</v>
      </c>
      <c r="H12" s="4">
        <f>(F12-H2)/H2*100</f>
        <v>191.31845841784988</v>
      </c>
    </row>
    <row r="13" spans="3:8" x14ac:dyDescent="0.3">
      <c r="C13" s="5">
        <v>79560</v>
      </c>
      <c r="D13" s="5">
        <v>0.95</v>
      </c>
      <c r="E13" s="5" t="s">
        <v>38</v>
      </c>
      <c r="F13" s="5">
        <v>6803</v>
      </c>
      <c r="G13" s="9">
        <f>51204/1000000</f>
        <v>5.1204E-2</v>
      </c>
      <c r="H13" s="5">
        <f>(F13-H2)/H2*100</f>
        <v>175.98377281947262</v>
      </c>
    </row>
    <row r="14" spans="3:8" x14ac:dyDescent="0.3">
      <c r="C14" s="4">
        <v>79560</v>
      </c>
      <c r="D14" s="4">
        <v>0.999</v>
      </c>
      <c r="E14" s="4" t="s">
        <v>39</v>
      </c>
      <c r="F14" s="4">
        <v>4063</v>
      </c>
      <c r="G14" s="11">
        <f>2607789/1000000</f>
        <v>2.6077889999999999</v>
      </c>
      <c r="H14" s="4">
        <f>(F14-H2)/H2*100</f>
        <v>64.827586206896541</v>
      </c>
    </row>
    <row r="19" spans="5:6" x14ac:dyDescent="0.3">
      <c r="E19" s="3">
        <v>127.398</v>
      </c>
      <c r="F19">
        <v>5.3144016227180524</v>
      </c>
    </row>
    <row r="20" spans="5:6" x14ac:dyDescent="0.3">
      <c r="E20" s="3">
        <v>151.13300000000001</v>
      </c>
      <c r="F20">
        <v>6.004056795131846</v>
      </c>
    </row>
    <row r="21" spans="5:6" x14ac:dyDescent="0.3">
      <c r="E21" s="3">
        <v>185.29</v>
      </c>
      <c r="F21">
        <v>3.7322515212981742</v>
      </c>
    </row>
    <row r="22" spans="5:6" x14ac:dyDescent="0.3">
      <c r="E22" s="3">
        <v>223.774</v>
      </c>
      <c r="F22">
        <v>2.5963488843813387</v>
      </c>
    </row>
    <row r="23" spans="5:6" x14ac:dyDescent="0.3">
      <c r="E23" s="3">
        <v>288.57100000000003</v>
      </c>
      <c r="F23">
        <v>4.3002028397565919</v>
      </c>
    </row>
    <row r="24" spans="5:6" x14ac:dyDescent="0.3">
      <c r="E24" s="3">
        <v>1500</v>
      </c>
      <c r="F24">
        <v>1.4198782961460445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47sw (2)</vt:lpstr>
      <vt:lpstr>170sw (2)</vt:lpstr>
      <vt:lpstr>403sw (2)</vt:lpstr>
      <vt:lpstr>Tabu47(2)</vt:lpstr>
      <vt:lpstr>Tabu170 (2)</vt:lpstr>
      <vt:lpstr>Tabu403 (2)</vt:lpstr>
      <vt:lpstr>47sw</vt:lpstr>
      <vt:lpstr>170sw</vt:lpstr>
      <vt:lpstr>403sw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Nikita Stepanenko</cp:lastModifiedBy>
  <dcterms:created xsi:type="dcterms:W3CDTF">2019-12-12T13:01:33Z</dcterms:created>
  <dcterms:modified xsi:type="dcterms:W3CDTF">2019-12-20T10:25:55Z</dcterms:modified>
</cp:coreProperties>
</file>