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145" windowWidth="12120" windowHeight="2280" tabRatio="689"/>
  </bookViews>
  <sheets>
    <sheet name="SUMMARY" sheetId="27" r:id="rId1"/>
    <sheet name="SHELTER--&gt;" sheetId="25" r:id="rId2"/>
    <sheet name="Sources and Use-shltr" sheetId="21" r:id="rId3"/>
    <sheet name="Devel. Bud-shltr" sheetId="24" r:id="rId4"/>
    <sheet name="Constr Interest-shltr" sheetId="22" r:id="rId5"/>
    <sheet name="Units &amp; Income_shltr" sheetId="23" r:id="rId6"/>
    <sheet name="PERM--&gt;" sheetId="26" r:id="rId7"/>
    <sheet name="basis regs" sheetId="20" r:id="rId8"/>
    <sheet name="Sources and Uses" sheetId="2" r:id="rId9"/>
    <sheet name="Devel. Bud" sheetId="5" r:id="rId10"/>
    <sheet name="Cons Int &amp; Neg Arb" sheetId="6" r:id="rId11"/>
    <sheet name="Units &amp; Income_rent" sheetId="16" r:id="rId12"/>
    <sheet name="M and O" sheetId="3" r:id="rId13"/>
    <sheet name="Cash Flow" sheetId="8" r:id="rId14"/>
    <sheet name="Mort" sheetId="4" r:id="rId15"/>
    <sheet name="Tax Credit " sheetId="9" r:id="rId16"/>
    <sheet name="NOT USED-&gt;" sheetId="17" state="hidden" r:id="rId17"/>
    <sheet name="Units &amp; Income" sheetId="1" state="hidden" r:id="rId18"/>
    <sheet name="Trade Pmt" sheetId="10" state="hidden" r:id="rId19"/>
    <sheet name="Fl Area Summary" sheetId="11" state="hidden" r:id="rId20"/>
    <sheet name="Acquis Budg" sheetId="19" state="hidden" r:id="rId21"/>
    <sheet name="TD loan" sheetId="18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Fill" localSheetId="20" hidden="1">#REF!</definedName>
    <definedName name="_Fill" localSheetId="21" hidden="1">#REF!</definedName>
    <definedName name="_Fill" localSheetId="11" hidden="1">#REF!</definedName>
    <definedName name="_Fill" localSheetId="5" hidden="1">#REF!</definedName>
    <definedName name="_Fill" hidden="1">#REF!</definedName>
    <definedName name="Average_Size_of_Units">'[1]Cred Memo'!$H$181:$N$182</definedName>
    <definedName name="Balloon_on_HDC_Second_Mortgage">'[1]Cred Memo'!$B$146:$F$152</definedName>
    <definedName name="BLDGRESERVE" localSheetId="20">'[2]M and O'!#REF!</definedName>
    <definedName name="BLDGRESERVE" localSheetId="10">'[3]M and O'!#REF!</definedName>
    <definedName name="BLDGRESERVE" localSheetId="4">'[3]M and O'!#REF!</definedName>
    <definedName name="BLDGRESERVE" localSheetId="3">'[4]M and O'!#REF!</definedName>
    <definedName name="BLDGRESERVE" localSheetId="21">'[2]M and O'!#REF!</definedName>
    <definedName name="BLDGRESERVE" localSheetId="11">'M and O'!#REF!</definedName>
    <definedName name="BLDGRESERVE" localSheetId="5">'[4]M and O'!#REF!</definedName>
    <definedName name="BLDGRESERVE">'M and O'!#REF!</definedName>
    <definedName name="CONCOST" localSheetId="20">'Acquis Budg'!#REF!</definedName>
    <definedName name="CONCOST" localSheetId="13">#REF!</definedName>
    <definedName name="CONCOST" localSheetId="3">'Devel. Bud-shltr'!#REF!</definedName>
    <definedName name="CONCOST" localSheetId="21">'TD loan'!#REF!</definedName>
    <definedName name="CONCOST" localSheetId="11">'Devel. Bud'!#REF!</definedName>
    <definedName name="CONCOST" localSheetId="5">'[4]Devel. Bud'!#REF!</definedName>
    <definedName name="CONCOST">'Devel. Bud'!#REF!</definedName>
    <definedName name="conint" localSheetId="20">'[5]Devel. Bud'!#REF!</definedName>
    <definedName name="conint" localSheetId="21">'[5]Devel. Bud'!#REF!</definedName>
    <definedName name="conint" localSheetId="11">'[5]Devel. Bud'!#REF!</definedName>
    <definedName name="conint" localSheetId="5">'[5]Devel. Bud'!#REF!</definedName>
    <definedName name="conint">'[5]Devel. Bud'!#REF!</definedName>
    <definedName name="CONSTINTEREST" localSheetId="20">'Acquis Budg'!#REF!</definedName>
    <definedName name="CONSTINTEREST" localSheetId="13">#REF!</definedName>
    <definedName name="CONSTINTEREST" localSheetId="10">'[3]Devel. Bud (2)'!#REF!</definedName>
    <definedName name="CONSTINTEREST" localSheetId="4">'[3]Devel. Bud (2)'!#REF!</definedName>
    <definedName name="CONSTINTEREST" localSheetId="3">'Devel. Bud-shltr'!#REF!</definedName>
    <definedName name="CONSTINTEREST" localSheetId="21">'TD loan'!#REF!</definedName>
    <definedName name="CONSTINTEREST" localSheetId="11">'Devel. Bud'!#REF!</definedName>
    <definedName name="CONSTINTEREST" localSheetId="5">'[4]Devel. Bud'!#REF!</definedName>
    <definedName name="CONSTINTEREST">'Devel. Bud'!#REF!</definedName>
    <definedName name="Construction_Period__Sources_of_Funds">'[1]Cred Memo'!$B$108:$E$122</definedName>
    <definedName name="Development_Costs">'[1]Cred Memo'!$B$82:$F$103</definedName>
    <definedName name="Development_Team">'[1]Cred Memo'!$B$57:$G$61</definedName>
    <definedName name="DEVFEE" localSheetId="20">'Acquis Budg'!#REF!</definedName>
    <definedName name="DEVFEE" localSheetId="13">#REF!</definedName>
    <definedName name="DEVFEE" localSheetId="3">'Devel. Bud-shltr'!$D$95</definedName>
    <definedName name="DEVFEE" localSheetId="21">'TD loan'!#REF!</definedName>
    <definedName name="DEVFEE">'Devel. Bud'!$D$97</definedName>
    <definedName name="EQUITY" localSheetId="20">'Acquis Budg'!#REF!</definedName>
    <definedName name="EQUITY" localSheetId="13">#REF!</definedName>
    <definedName name="EQUITY" localSheetId="3">'Devel. Bud-shltr'!$D$96</definedName>
    <definedName name="EQUITY" localSheetId="21">'TD loan'!#REF!</definedName>
    <definedName name="EQUITY">'Devel. Bud'!$D$98</definedName>
    <definedName name="ERI" localSheetId="20">[2]Mort!#REF!</definedName>
    <definedName name="ERI" localSheetId="13">[6]Mort!$D$13</definedName>
    <definedName name="ERI" localSheetId="3">[4]Mort!#REF!</definedName>
    <definedName name="ERI" localSheetId="21">[2]Mort!#REF!</definedName>
    <definedName name="ERI" localSheetId="11">Mort!#REF!</definedName>
    <definedName name="ERI" localSheetId="5">[4]Mort!#REF!</definedName>
    <definedName name="ERI">Mort!#REF!</definedName>
    <definedName name="Expenses" localSheetId="20">'[2]M and O'!$C$31</definedName>
    <definedName name="Expenses" localSheetId="3">'[4]M and O'!$C$31</definedName>
    <definedName name="Expenses" localSheetId="21">'[2]M and O'!$C$31</definedName>
    <definedName name="Expenses">'M and O'!$C$31</definedName>
    <definedName name="Financing_Information">'[1]Cred Memo'!$B$66:$G$75</definedName>
    <definedName name="FIRST" localSheetId="20">[2]Mort!$H$30</definedName>
    <definedName name="FIRST" localSheetId="3">[4]Mort!$H$30</definedName>
    <definedName name="FIRST" localSheetId="21">[2]Mort!$H$30</definedName>
    <definedName name="FIRST">Mort!$H$30</definedName>
    <definedName name="GRR" localSheetId="20">'[2]Units &amp; Income'!#REF!</definedName>
    <definedName name="GRR" localSheetId="13">'[6]Unit Distrib.'!#REF!</definedName>
    <definedName name="GRR" localSheetId="3">'[4]Units &amp; Income'!#REF!</definedName>
    <definedName name="GRR" localSheetId="21">'[2]Units &amp; Income'!#REF!</definedName>
    <definedName name="GRR" localSheetId="11">'Units &amp; Income_rent'!#REF!</definedName>
    <definedName name="GRR" localSheetId="5">'Units &amp; Income_shltr'!#REF!</definedName>
    <definedName name="GRR">'Units &amp; Income'!#REF!</definedName>
    <definedName name="HDCDSC" localSheetId="13">[7]Income!$D$24</definedName>
    <definedName name="HDCDSC">[8]Income!$D$24</definedName>
    <definedName name="I_A" localSheetId="20">#REF!</definedName>
    <definedName name="I_A" localSheetId="3">#REF!</definedName>
    <definedName name="I_A" localSheetId="21">#REF!</definedName>
    <definedName name="I_A" localSheetId="11">#REF!</definedName>
    <definedName name="I_A" localSheetId="5">#REF!</definedName>
    <definedName name="I_A">#REF!</definedName>
    <definedName name="LAUNDRY" localSheetId="11">'Units &amp; Income_rent'!$D$38</definedName>
    <definedName name="LAUNDRY" localSheetId="5">'Units &amp; Income_shltr'!#REF!</definedName>
    <definedName name="LAUNDRY">'Units &amp; Income'!$D$38</definedName>
    <definedName name="Location_Information">'[1]Cred Memo'!$B$49:$G$53</definedName>
    <definedName name="NOI" localSheetId="20">[2]Mort!$D$32</definedName>
    <definedName name="NOI" localSheetId="3">[4]Mort!$D$32</definedName>
    <definedName name="NOI" localSheetId="21">[2]Mort!$D$32</definedName>
    <definedName name="NOI">Mort!$D$32</definedName>
    <definedName name="Operating_Budget">'[1]Cred Memo'!$B$225:$G$243</definedName>
    <definedName name="Permanent_Sources_of_Funds">'[1]Cred Memo'!$B$130:$G$144</definedName>
    <definedName name="_xlnm.Print_Area" localSheetId="20">'Acquis Budg'!$A$1:$J$51</definedName>
    <definedName name="_xlnm.Print_Area" localSheetId="10">'Cons Int &amp; Neg Arb'!$A$1:$F$78</definedName>
    <definedName name="_xlnm.Print_Area" localSheetId="4">'Constr Interest-shltr'!$A$1:$F$78</definedName>
    <definedName name="_xlnm.Print_Area" localSheetId="9">'Devel. Bud'!$A$1:$J$99</definedName>
    <definedName name="_xlnm.Print_Area" localSheetId="3">'Devel. Bud-shltr'!$A$1:$F$95</definedName>
    <definedName name="_xlnm.Print_Area" localSheetId="12">'M and O'!$A$1:$G$33</definedName>
    <definedName name="_xlnm.Print_Area" localSheetId="14">Mort!$A$1:$L$47</definedName>
    <definedName name="_xlnm.Print_Area" localSheetId="8">'Sources and Uses'!$A$1:$D$38</definedName>
    <definedName name="_xlnm.Print_Area" localSheetId="2">'Sources and Use-shltr'!$A$1:$D$37</definedName>
    <definedName name="_xlnm.Print_Area" localSheetId="15">'Tax Credit '!$A$1:$H$73</definedName>
    <definedName name="_xlnm.Print_Area" localSheetId="21">'TD loan'!$A$1:$J$53</definedName>
    <definedName name="_xlnm.Print_Area" localSheetId="17">'Units &amp; Income'!$A$1:$I$95</definedName>
    <definedName name="_xlnm.Print_Area" localSheetId="11">'Units &amp; Income_rent'!$A$1:$K$99</definedName>
    <definedName name="_xlnm.Print_Area" localSheetId="5">'Units &amp; Income_shltr'!$A$1:$I$26</definedName>
    <definedName name="Project_Summary">'[1]Cred Memo'!$B$2:$G$10</definedName>
    <definedName name="RENT1" localSheetId="20">#REF!</definedName>
    <definedName name="RENT1" localSheetId="3">#REF!</definedName>
    <definedName name="RENT1" localSheetId="21">#REF!</definedName>
    <definedName name="RENT1" localSheetId="11">#REF!</definedName>
    <definedName name="RENT1" localSheetId="5">#REF!</definedName>
    <definedName name="RENT1">#REF!</definedName>
    <definedName name="Res_DUs">[9]Data!$M$75</definedName>
    <definedName name="Residential_Data">'[1]Cred Memo'!$H$188:$L$206</definedName>
    <definedName name="ROOMS" localSheetId="11">'Units &amp; Income_rent'!$D$21</definedName>
    <definedName name="ROOMS" localSheetId="5">'Units &amp; Income_shltr'!$D$21</definedName>
    <definedName name="ROOMS">'Units &amp; Income'!$D$21</definedName>
    <definedName name="SECOND" localSheetId="20">[2]Mort!$I$30</definedName>
    <definedName name="SECOND" localSheetId="3">[4]Mort!$I$30</definedName>
    <definedName name="SECOND" localSheetId="21">[2]Mort!$I$30</definedName>
    <definedName name="SECOND">Mort!$I$30</definedName>
    <definedName name="Second_Mortgage">Mort!$I$22</definedName>
    <definedName name="Square_Footage">'[1]Cred Memo'!$B$15:$D$26</definedName>
    <definedName name="TCAW" localSheetId="20">#REF!</definedName>
    <definedName name="TCAW" localSheetId="3">#REF!</definedName>
    <definedName name="TCAW" localSheetId="21">#REF!</definedName>
    <definedName name="TCAW" localSheetId="11">#REF!</definedName>
    <definedName name="TCAW" localSheetId="5">#REF!</definedName>
    <definedName name="TCAW">#REF!</definedName>
    <definedName name="TOTALLOAN">Mort!$L$30</definedName>
    <definedName name="Unit_Breakdown_by_Rent_Level">'[1]Cred Memo'!$B$30:$D$46</definedName>
    <definedName name="Unit_Distribution_by_Monthly_Rent">'[1]Cred Memo'!$H$169:$O$176</definedName>
    <definedName name="Unit_Distribution_by_Rent_Level">'[1]Cred Memo'!$H$156:$N$163</definedName>
    <definedName name="UNITS" localSheetId="20">'[2]Units &amp; Income'!$B$21</definedName>
    <definedName name="UNITS" localSheetId="21">'[2]Units &amp; Income'!$B$21</definedName>
    <definedName name="UNITS" localSheetId="11">'Units &amp; Income_rent'!$B$21</definedName>
    <definedName name="UNITS" localSheetId="5">'Units &amp; Income_shltr'!$B$21</definedName>
    <definedName name="UNITS">'Units &amp; Income'!$B$21</definedName>
    <definedName name="Z_1ECE83C7_A3CE_4F97_BFD3_498FF783C0D9_.wvu.Cols" localSheetId="12" hidden="1">'M and O'!#REF!</definedName>
    <definedName name="Z_1ECE83C7_A3CE_4F97_BFD3_498FF783C0D9_.wvu.PrintArea" localSheetId="20" hidden="1">'Acquis Budg'!$A$1:$H$45</definedName>
    <definedName name="Z_1ECE83C7_A3CE_4F97_BFD3_498FF783C0D9_.wvu.PrintArea" localSheetId="10" hidden="1">'Cons Int &amp; Neg Arb'!$A$1:$F$70</definedName>
    <definedName name="Z_1ECE83C7_A3CE_4F97_BFD3_498FF783C0D9_.wvu.PrintArea" localSheetId="4" hidden="1">'Constr Interest-shltr'!$A$1:$F$70</definedName>
    <definedName name="Z_1ECE83C7_A3CE_4F97_BFD3_498FF783C0D9_.wvu.PrintArea" localSheetId="9" hidden="1">'Devel. Bud'!$A$1:$H$102</definedName>
    <definedName name="Z_1ECE83C7_A3CE_4F97_BFD3_498FF783C0D9_.wvu.PrintArea" localSheetId="3" hidden="1">'Devel. Bud-shltr'!$A$1:$H$99</definedName>
    <definedName name="Z_1ECE83C7_A3CE_4F97_BFD3_498FF783C0D9_.wvu.PrintArea" localSheetId="12" hidden="1">'M and O'!$A$1:$E$42</definedName>
    <definedName name="Z_1ECE83C7_A3CE_4F97_BFD3_498FF783C0D9_.wvu.PrintArea" localSheetId="14" hidden="1">Mort!$A$1:$L$47</definedName>
    <definedName name="Z_1ECE83C7_A3CE_4F97_BFD3_498FF783C0D9_.wvu.PrintArea" localSheetId="8" hidden="1">'Sources and Uses'!$A$1:$D$41</definedName>
    <definedName name="Z_1ECE83C7_A3CE_4F97_BFD3_498FF783C0D9_.wvu.PrintArea" localSheetId="2" hidden="1">'Sources and Use-shltr'!$A$1:$D$40</definedName>
    <definedName name="Z_1ECE83C7_A3CE_4F97_BFD3_498FF783C0D9_.wvu.PrintArea" localSheetId="21" hidden="1">'TD loan'!$A$1:$H$47</definedName>
    <definedName name="Z_1ECE83C7_A3CE_4F97_BFD3_498FF783C0D9_.wvu.PrintArea" localSheetId="17" hidden="1">'Units &amp; Income'!$A$1:$E$43</definedName>
    <definedName name="Z_1ECE83C7_A3CE_4F97_BFD3_498FF783C0D9_.wvu.PrintArea" localSheetId="11" hidden="1">'Units &amp; Income_rent'!$A$1:$E$46</definedName>
    <definedName name="Z_1ECE83C7_A3CE_4F97_BFD3_498FF783C0D9_.wvu.PrintArea" localSheetId="5" hidden="1">'Units &amp; Income_shltr'!$A$1:$E$26</definedName>
    <definedName name="Z_25C4E7E7_1006_4A2D_BC83_AEE4ADF8A914_.wvu.Cols" localSheetId="12" hidden="1">'M and O'!#REF!</definedName>
    <definedName name="Z_25C4E7E7_1006_4A2D_BC83_AEE4ADF8A914_.wvu.PrintArea" localSheetId="20" hidden="1">'Acquis Budg'!$A$1:$H$45</definedName>
    <definedName name="Z_25C4E7E7_1006_4A2D_BC83_AEE4ADF8A914_.wvu.PrintArea" localSheetId="10" hidden="1">'Cons Int &amp; Neg Arb'!$A$1:$F$70</definedName>
    <definedName name="Z_25C4E7E7_1006_4A2D_BC83_AEE4ADF8A914_.wvu.PrintArea" localSheetId="4" hidden="1">'Constr Interest-shltr'!$A$1:$F$70</definedName>
    <definedName name="Z_25C4E7E7_1006_4A2D_BC83_AEE4ADF8A914_.wvu.PrintArea" localSheetId="9" hidden="1">'Devel. Bud'!$A$1:$H$102</definedName>
    <definedName name="Z_25C4E7E7_1006_4A2D_BC83_AEE4ADF8A914_.wvu.PrintArea" localSheetId="3" hidden="1">'Devel. Bud-shltr'!$A$1:$H$99</definedName>
    <definedName name="Z_25C4E7E7_1006_4A2D_BC83_AEE4ADF8A914_.wvu.PrintArea" localSheetId="12" hidden="1">'M and O'!$A$1:$E$42</definedName>
    <definedName name="Z_25C4E7E7_1006_4A2D_BC83_AEE4ADF8A914_.wvu.PrintArea" localSheetId="14" hidden="1">Mort!$A$1:$L$47</definedName>
    <definedName name="Z_25C4E7E7_1006_4A2D_BC83_AEE4ADF8A914_.wvu.PrintArea" localSheetId="8" hidden="1">'Sources and Uses'!$A$1:$D$41</definedName>
    <definedName name="Z_25C4E7E7_1006_4A2D_BC83_AEE4ADF8A914_.wvu.PrintArea" localSheetId="2" hidden="1">'Sources and Use-shltr'!$A$1:$D$40</definedName>
    <definedName name="Z_25C4E7E7_1006_4A2D_BC83_AEE4ADF8A914_.wvu.PrintArea" localSheetId="21" hidden="1">'TD loan'!$A$1:$H$47</definedName>
    <definedName name="Z_25C4E7E7_1006_4A2D_BC83_AEE4ADF8A914_.wvu.PrintArea" localSheetId="17" hidden="1">'Units &amp; Income'!$A$1:$E$43</definedName>
    <definedName name="Z_25C4E7E7_1006_4A2D_BC83_AEE4ADF8A914_.wvu.PrintArea" localSheetId="11" hidden="1">'Units &amp; Income_rent'!$A$1:$E$46</definedName>
    <definedName name="Z_25C4E7E7_1006_4A2D_BC83_AEE4ADF8A914_.wvu.PrintArea" localSheetId="5" hidden="1">'Units &amp; Income_shltr'!$A$1:$E$26</definedName>
    <definedName name="Z_25C4E7E7_1006_4A2D_BC83_AEE4ADF8A914_.wvu.Rows" localSheetId="20" hidden="1">'Acquis Budg'!#REF!</definedName>
    <definedName name="Z_25C4E7E7_1006_4A2D_BC83_AEE4ADF8A914_.wvu.Rows" localSheetId="10" hidden="1">'Cons Int &amp; Neg Arb'!$26:$29,'Cons Int &amp; Neg Arb'!$45:$51</definedName>
    <definedName name="Z_25C4E7E7_1006_4A2D_BC83_AEE4ADF8A914_.wvu.Rows" localSheetId="4" hidden="1">'Constr Interest-shltr'!$26:$29,'Constr Interest-shltr'!$45:$51</definedName>
    <definedName name="Z_25C4E7E7_1006_4A2D_BC83_AEE4ADF8A914_.wvu.Rows" localSheetId="9" hidden="1">'Devel. Bud'!#REF!</definedName>
    <definedName name="Z_25C4E7E7_1006_4A2D_BC83_AEE4ADF8A914_.wvu.Rows" localSheetId="3" hidden="1">'Devel. Bud-shltr'!#REF!</definedName>
    <definedName name="Z_25C4E7E7_1006_4A2D_BC83_AEE4ADF8A914_.wvu.Rows" localSheetId="12" hidden="1">'M and O'!$29:$29</definedName>
    <definedName name="Z_25C4E7E7_1006_4A2D_BC83_AEE4ADF8A914_.wvu.Rows" localSheetId="8" hidden="1">'Sources and Uses'!#REF!</definedName>
    <definedName name="Z_25C4E7E7_1006_4A2D_BC83_AEE4ADF8A914_.wvu.Rows" localSheetId="2" hidden="1">'Sources and Use-shltr'!#REF!</definedName>
    <definedName name="Z_25C4E7E7_1006_4A2D_BC83_AEE4ADF8A914_.wvu.Rows" localSheetId="21" hidden="1">'TD loan'!#REF!</definedName>
    <definedName name="Z_28F81D13_D146_4D67_8981_BA5D7A496326_.wvu.Cols" localSheetId="12" hidden="1">'M and O'!#REF!</definedName>
    <definedName name="Z_28F81D13_D146_4D67_8981_BA5D7A496326_.wvu.PrintArea" localSheetId="20" hidden="1">'Acquis Budg'!$A$1:$F$44</definedName>
    <definedName name="Z_28F81D13_D146_4D67_8981_BA5D7A496326_.wvu.PrintArea" localSheetId="10" hidden="1">'Cons Int &amp; Neg Arb'!$A$1:$I$67</definedName>
    <definedName name="Z_28F81D13_D146_4D67_8981_BA5D7A496326_.wvu.PrintArea" localSheetId="4" hidden="1">'Constr Interest-shltr'!$A$1:$I$67</definedName>
    <definedName name="Z_28F81D13_D146_4D67_8981_BA5D7A496326_.wvu.PrintArea" localSheetId="9" hidden="1">'Devel. Bud'!$A$1:$F$101</definedName>
    <definedName name="Z_28F81D13_D146_4D67_8981_BA5D7A496326_.wvu.PrintArea" localSheetId="3" hidden="1">'Devel. Bud-shltr'!$A$1:$F$98</definedName>
    <definedName name="Z_28F81D13_D146_4D67_8981_BA5D7A496326_.wvu.PrintArea" localSheetId="12" hidden="1">'M and O'!$A$1:$E$41</definedName>
    <definedName name="Z_28F81D13_D146_4D67_8981_BA5D7A496326_.wvu.PrintArea" localSheetId="14" hidden="1">Mort!$A$1:$L$54</definedName>
    <definedName name="Z_28F81D13_D146_4D67_8981_BA5D7A496326_.wvu.PrintArea" localSheetId="8" hidden="1">'Sources and Uses'!$A$1:$C$41</definedName>
    <definedName name="Z_28F81D13_D146_4D67_8981_BA5D7A496326_.wvu.PrintArea" localSheetId="2" hidden="1">'Sources and Use-shltr'!$A$1:$C$40</definedName>
    <definedName name="Z_28F81D13_D146_4D67_8981_BA5D7A496326_.wvu.PrintArea" localSheetId="21" hidden="1">'TD loan'!$A$1:$F$46</definedName>
    <definedName name="Z_28F81D13_D146_4D67_8981_BA5D7A496326_.wvu.PrintArea" localSheetId="17" hidden="1">'Units &amp; Income'!$A$1:$E$43</definedName>
    <definedName name="Z_28F81D13_D146_4D67_8981_BA5D7A496326_.wvu.PrintArea" localSheetId="11" hidden="1">'Units &amp; Income_rent'!$A$1:$E$46</definedName>
    <definedName name="Z_28F81D13_D146_4D67_8981_BA5D7A496326_.wvu.PrintArea" localSheetId="5" hidden="1">'Units &amp; Income_shltr'!$A$1:$E$26</definedName>
    <definedName name="Z_28F81D13_D146_4D67_8981_BA5D7A496326_.wvu.Rows" localSheetId="10" hidden="1">'Cons Int &amp; Neg Arb'!$54:$54</definedName>
    <definedName name="Z_28F81D13_D146_4D67_8981_BA5D7A496326_.wvu.Rows" localSheetId="4" hidden="1">'Constr Interest-shltr'!$54:$54</definedName>
    <definedName name="Z_560D4AFA_61E5_46C3_B0CD_D0EB3053A033_.wvu.Cols" localSheetId="12" hidden="1">'M and O'!#REF!</definedName>
    <definedName name="Z_560D4AFA_61E5_46C3_B0CD_D0EB3053A033_.wvu.PrintArea" localSheetId="20" hidden="1">'Acquis Budg'!$A$1:$H$45</definedName>
    <definedName name="Z_560D4AFA_61E5_46C3_B0CD_D0EB3053A033_.wvu.PrintArea" localSheetId="10" hidden="1">'Cons Int &amp; Neg Arb'!$A$1:$F$70</definedName>
    <definedName name="Z_560D4AFA_61E5_46C3_B0CD_D0EB3053A033_.wvu.PrintArea" localSheetId="4" hidden="1">'Constr Interest-shltr'!$A$1:$F$70</definedName>
    <definedName name="Z_560D4AFA_61E5_46C3_B0CD_D0EB3053A033_.wvu.PrintArea" localSheetId="9" hidden="1">'Devel. Bud'!$A$1:$H$102</definedName>
    <definedName name="Z_560D4AFA_61E5_46C3_B0CD_D0EB3053A033_.wvu.PrintArea" localSheetId="3" hidden="1">'Devel. Bud-shltr'!$A$1:$H$99</definedName>
    <definedName name="Z_560D4AFA_61E5_46C3_B0CD_D0EB3053A033_.wvu.PrintArea" localSheetId="12" hidden="1">'M and O'!$A$1:$E$42</definedName>
    <definedName name="Z_560D4AFA_61E5_46C3_B0CD_D0EB3053A033_.wvu.PrintArea" localSheetId="14" hidden="1">Mort!$A$1:$L$47</definedName>
    <definedName name="Z_560D4AFA_61E5_46C3_B0CD_D0EB3053A033_.wvu.PrintArea" localSheetId="8" hidden="1">'Sources and Uses'!$A$1:$D$41</definedName>
    <definedName name="Z_560D4AFA_61E5_46C3_B0CD_D0EB3053A033_.wvu.PrintArea" localSheetId="2" hidden="1">'Sources and Use-shltr'!$A$1:$D$40</definedName>
    <definedName name="Z_560D4AFA_61E5_46C3_B0CD_D0EB3053A033_.wvu.PrintArea" localSheetId="21" hidden="1">'TD loan'!$A$1:$H$47</definedName>
    <definedName name="Z_560D4AFA_61E5_46C3_B0CD_D0EB3053A033_.wvu.PrintArea" localSheetId="17" hidden="1">'Units &amp; Income'!$A$1:$E$43</definedName>
    <definedName name="Z_560D4AFA_61E5_46C3_B0CD_D0EB3053A033_.wvu.PrintArea" localSheetId="11" hidden="1">'Units &amp; Income_rent'!$A$1:$E$46</definedName>
    <definedName name="Z_560D4AFA_61E5_46C3_B0CD_D0EB3053A033_.wvu.PrintArea" localSheetId="5" hidden="1">'Units &amp; Income_shltr'!$A$1:$E$26</definedName>
    <definedName name="Z_560D4AFA_61E5_46C3_B0CD_D0EB3053A033_.wvu.Rows" localSheetId="20" hidden="1">'Acquis Budg'!#REF!</definedName>
    <definedName name="Z_560D4AFA_61E5_46C3_B0CD_D0EB3053A033_.wvu.Rows" localSheetId="10" hidden="1">'Cons Int &amp; Neg Arb'!$26:$29,'Cons Int &amp; Neg Arb'!$45:$51</definedName>
    <definedName name="Z_560D4AFA_61E5_46C3_B0CD_D0EB3053A033_.wvu.Rows" localSheetId="4" hidden="1">'Constr Interest-shltr'!$26:$29,'Constr Interest-shltr'!$45:$51</definedName>
    <definedName name="Z_560D4AFA_61E5_46C3_B0CD_D0EB3053A033_.wvu.Rows" localSheetId="9" hidden="1">'Devel. Bud'!#REF!</definedName>
    <definedName name="Z_560D4AFA_61E5_46C3_B0CD_D0EB3053A033_.wvu.Rows" localSheetId="3" hidden="1">'Devel. Bud-shltr'!#REF!</definedName>
    <definedName name="Z_560D4AFA_61E5_46C3_B0CD_D0EB3053A033_.wvu.Rows" localSheetId="12" hidden="1">'M and O'!$29:$29</definedName>
    <definedName name="Z_560D4AFA_61E5_46C3_B0CD_D0EB3053A033_.wvu.Rows" localSheetId="8" hidden="1">'Sources and Uses'!#REF!</definedName>
    <definedName name="Z_560D4AFA_61E5_46C3_B0CD_D0EB3053A033_.wvu.Rows" localSheetId="2" hidden="1">'Sources and Use-shltr'!#REF!</definedName>
    <definedName name="Z_560D4AFA_61E5_46C3_B0CD_D0EB3053A033_.wvu.Rows" localSheetId="21" hidden="1">'TD loan'!#REF!</definedName>
    <definedName name="Z_6EF643BE_69F3_424E_8A44_3890161370D4_.wvu.Cols" localSheetId="12" hidden="1">'M and O'!#REF!</definedName>
    <definedName name="Z_6EF643BE_69F3_424E_8A44_3890161370D4_.wvu.PrintArea" localSheetId="20" hidden="1">'Acquis Budg'!$A$1:$F$42</definedName>
    <definedName name="Z_6EF643BE_69F3_424E_8A44_3890161370D4_.wvu.PrintArea" localSheetId="10" hidden="1">'Cons Int &amp; Neg Arb'!$A$1:$I$67</definedName>
    <definedName name="Z_6EF643BE_69F3_424E_8A44_3890161370D4_.wvu.PrintArea" localSheetId="4" hidden="1">'Constr Interest-shltr'!$A$1:$I$67</definedName>
    <definedName name="Z_6EF643BE_69F3_424E_8A44_3890161370D4_.wvu.PrintArea" localSheetId="9" hidden="1">'Devel. Bud'!$A$1:$F$86</definedName>
    <definedName name="Z_6EF643BE_69F3_424E_8A44_3890161370D4_.wvu.PrintArea" localSheetId="3" hidden="1">'Devel. Bud-shltr'!$A$1:$F$85</definedName>
    <definedName name="Z_6EF643BE_69F3_424E_8A44_3890161370D4_.wvu.PrintArea" localSheetId="12" hidden="1">'M and O'!$A$1:$E$41</definedName>
    <definedName name="Z_6EF643BE_69F3_424E_8A44_3890161370D4_.wvu.PrintArea" localSheetId="14" hidden="1">Mort!$A$1:$L$54</definedName>
    <definedName name="Z_6EF643BE_69F3_424E_8A44_3890161370D4_.wvu.PrintArea" localSheetId="8" hidden="1">'Sources and Uses'!$A$1:$C$41</definedName>
    <definedName name="Z_6EF643BE_69F3_424E_8A44_3890161370D4_.wvu.PrintArea" localSheetId="2" hidden="1">'Sources and Use-shltr'!$A$1:$C$40</definedName>
    <definedName name="Z_6EF643BE_69F3_424E_8A44_3890161370D4_.wvu.PrintArea" localSheetId="21" hidden="1">'TD loan'!$A$1:$F$44</definedName>
    <definedName name="Z_6EF643BE_69F3_424E_8A44_3890161370D4_.wvu.PrintArea" localSheetId="17" hidden="1">'Units &amp; Income'!$A$1:$E$43</definedName>
    <definedName name="Z_6EF643BE_69F3_424E_8A44_3890161370D4_.wvu.PrintArea" localSheetId="11" hidden="1">'Units &amp; Income_rent'!$A$1:$E$46</definedName>
    <definedName name="Z_6EF643BE_69F3_424E_8A44_3890161370D4_.wvu.PrintArea" localSheetId="5" hidden="1">'Units &amp; Income_shltr'!$A$1:$E$26</definedName>
    <definedName name="Z_6EF643BE_69F3_424E_8A44_3890161370D4_.wvu.Rows" localSheetId="10" hidden="1">'Cons Int &amp; Neg Arb'!$54:$54</definedName>
    <definedName name="Z_6EF643BE_69F3_424E_8A44_3890161370D4_.wvu.Rows" localSheetId="4" hidden="1">'Constr Interest-shltr'!$54:$54</definedName>
    <definedName name="Z_AEA5979F_5357_4ED6_A6CA_1BB80F5C7A74_.wvu.Cols" localSheetId="12" hidden="1">'M and O'!#REF!</definedName>
    <definedName name="Z_AEA5979F_5357_4ED6_A6CA_1BB80F5C7A74_.wvu.PrintArea" localSheetId="20" hidden="1">'Acquis Budg'!$A$1:$F$42</definedName>
    <definedName name="Z_AEA5979F_5357_4ED6_A6CA_1BB80F5C7A74_.wvu.PrintArea" localSheetId="10" hidden="1">'Cons Int &amp; Neg Arb'!$A$1:$I$67</definedName>
    <definedName name="Z_AEA5979F_5357_4ED6_A6CA_1BB80F5C7A74_.wvu.PrintArea" localSheetId="4" hidden="1">'Constr Interest-shltr'!$A$1:$I$67</definedName>
    <definedName name="Z_AEA5979F_5357_4ED6_A6CA_1BB80F5C7A74_.wvu.PrintArea" localSheetId="9" hidden="1">'Devel. Bud'!$A$1:$F$86</definedName>
    <definedName name="Z_AEA5979F_5357_4ED6_A6CA_1BB80F5C7A74_.wvu.PrintArea" localSheetId="3" hidden="1">'Devel. Bud-shltr'!$A$1:$F$85</definedName>
    <definedName name="Z_AEA5979F_5357_4ED6_A6CA_1BB80F5C7A74_.wvu.PrintArea" localSheetId="12" hidden="1">'M and O'!$A$1:$E$41</definedName>
    <definedName name="Z_AEA5979F_5357_4ED6_A6CA_1BB80F5C7A74_.wvu.PrintArea" localSheetId="14" hidden="1">Mort!$A$1:$L$54</definedName>
    <definedName name="Z_AEA5979F_5357_4ED6_A6CA_1BB80F5C7A74_.wvu.PrintArea" localSheetId="8" hidden="1">'Sources and Uses'!$A$1:$C$41</definedName>
    <definedName name="Z_AEA5979F_5357_4ED6_A6CA_1BB80F5C7A74_.wvu.PrintArea" localSheetId="2" hidden="1">'Sources and Use-shltr'!$A$1:$C$40</definedName>
    <definedName name="Z_AEA5979F_5357_4ED6_A6CA_1BB80F5C7A74_.wvu.PrintArea" localSheetId="21" hidden="1">'TD loan'!$A$1:$F$44</definedName>
    <definedName name="Z_AEA5979F_5357_4ED6_A6CA_1BB80F5C7A74_.wvu.PrintArea" localSheetId="17" hidden="1">'Units &amp; Income'!$A$1:$E$43</definedName>
    <definedName name="Z_AEA5979F_5357_4ED6_A6CA_1BB80F5C7A74_.wvu.PrintArea" localSheetId="11" hidden="1">'Units &amp; Income_rent'!$A$1:$E$46</definedName>
    <definedName name="Z_AEA5979F_5357_4ED6_A6CA_1BB80F5C7A74_.wvu.PrintArea" localSheetId="5" hidden="1">'Units &amp; Income_shltr'!$A$1:$E$26</definedName>
    <definedName name="Z_AEA5979F_5357_4ED6_A6CA_1BB80F5C7A74_.wvu.Rows" localSheetId="10" hidden="1">'Cons Int &amp; Neg Arb'!$54:$54</definedName>
    <definedName name="Z_AEA5979F_5357_4ED6_A6CA_1BB80F5C7A74_.wvu.Rows" localSheetId="4" hidden="1">'Constr Interest-shltr'!$54:$54</definedName>
    <definedName name="Z_EB776EFC_3589_4DB5_BEAF_1E83D9703F9E_.wvu.Cols" localSheetId="20" hidden="1">'Acquis Budg'!#REF!</definedName>
    <definedName name="Z_EB776EFC_3589_4DB5_BEAF_1E83D9703F9E_.wvu.Cols" localSheetId="10" hidden="1">'Cons Int &amp; Neg Arb'!#REF!</definedName>
    <definedName name="Z_EB776EFC_3589_4DB5_BEAF_1E83D9703F9E_.wvu.Cols" localSheetId="4" hidden="1">'Constr Interest-shltr'!#REF!</definedName>
    <definedName name="Z_EB776EFC_3589_4DB5_BEAF_1E83D9703F9E_.wvu.Cols" localSheetId="9" hidden="1">'Devel. Bud'!#REF!</definedName>
    <definedName name="Z_EB776EFC_3589_4DB5_BEAF_1E83D9703F9E_.wvu.Cols" localSheetId="3" hidden="1">'Devel. Bud-shltr'!#REF!</definedName>
    <definedName name="Z_EB776EFC_3589_4DB5_BEAF_1E83D9703F9E_.wvu.Cols" localSheetId="12" hidden="1">'M and O'!#REF!</definedName>
    <definedName name="Z_EB776EFC_3589_4DB5_BEAF_1E83D9703F9E_.wvu.Cols" localSheetId="21" hidden="1">'TD loan'!#REF!</definedName>
    <definedName name="Z_EB776EFC_3589_4DB5_BEAF_1E83D9703F9E_.wvu.PrintArea" localSheetId="20" hidden="1">'Acquis Budg'!$A$1:$F$42</definedName>
    <definedName name="Z_EB776EFC_3589_4DB5_BEAF_1E83D9703F9E_.wvu.PrintArea" localSheetId="9" hidden="1">'Devel. Bud'!$A$1:$F$86</definedName>
    <definedName name="Z_EB776EFC_3589_4DB5_BEAF_1E83D9703F9E_.wvu.PrintArea" localSheetId="3" hidden="1">'Devel. Bud-shltr'!$A$1:$F$85</definedName>
    <definedName name="Z_EB776EFC_3589_4DB5_BEAF_1E83D9703F9E_.wvu.PrintArea" localSheetId="12" hidden="1">'M and O'!$A$1:$E$41</definedName>
    <definedName name="Z_EB776EFC_3589_4DB5_BEAF_1E83D9703F9E_.wvu.PrintArea" localSheetId="14" hidden="1">Mort!$A$1:$L$54</definedName>
    <definedName name="Z_EB776EFC_3589_4DB5_BEAF_1E83D9703F9E_.wvu.PrintArea" localSheetId="21" hidden="1">'TD loan'!$A$1:$F$44</definedName>
    <definedName name="Z_EB776EFC_3589_4DB5_BEAF_1E83D9703F9E_.wvu.PrintArea" localSheetId="17" hidden="1">'Units &amp; Income'!$A$1:$E$43</definedName>
    <definedName name="Z_EB776EFC_3589_4DB5_BEAF_1E83D9703F9E_.wvu.PrintArea" localSheetId="11" hidden="1">'Units &amp; Income_rent'!$A$1:$E$46</definedName>
    <definedName name="Z_EB776EFC_3589_4DB5_BEAF_1E83D9703F9E_.wvu.PrintArea" localSheetId="5" hidden="1">'Units &amp; Income_shltr'!$A$1:$E$26</definedName>
    <definedName name="Z_EB776EFC_3589_4DB5_BEAF_1E83D9703F9E_.wvu.Rows" localSheetId="10" hidden="1">'Cons Int &amp; Neg Arb'!$54:$54</definedName>
    <definedName name="Z_EB776EFC_3589_4DB5_BEAF_1E83D9703F9E_.wvu.Rows" localSheetId="4" hidden="1">'Constr Interest-shltr'!$54:$54</definedName>
    <definedName name="Z_FBB4BF8E_8A9F_4E98_A6F9_5F9BF4C55C67_.wvu.Cols" localSheetId="20" hidden="1">'Acquis Budg'!#REF!</definedName>
    <definedName name="Z_FBB4BF8E_8A9F_4E98_A6F9_5F9BF4C55C67_.wvu.Cols" localSheetId="10" hidden="1">'Cons Int &amp; Neg Arb'!#REF!</definedName>
    <definedName name="Z_FBB4BF8E_8A9F_4E98_A6F9_5F9BF4C55C67_.wvu.Cols" localSheetId="4" hidden="1">'Constr Interest-shltr'!#REF!</definedName>
    <definedName name="Z_FBB4BF8E_8A9F_4E98_A6F9_5F9BF4C55C67_.wvu.Cols" localSheetId="9" hidden="1">'Devel. Bud'!#REF!</definedName>
    <definedName name="Z_FBB4BF8E_8A9F_4E98_A6F9_5F9BF4C55C67_.wvu.Cols" localSheetId="3" hidden="1">'Devel. Bud-shltr'!#REF!</definedName>
    <definedName name="Z_FBB4BF8E_8A9F_4E98_A6F9_5F9BF4C55C67_.wvu.Cols" localSheetId="12" hidden="1">'M and O'!#REF!</definedName>
    <definedName name="Z_FBB4BF8E_8A9F_4E98_A6F9_5F9BF4C55C67_.wvu.Cols" localSheetId="21" hidden="1">'TD loan'!#REF!</definedName>
    <definedName name="Z_FBB4BF8E_8A9F_4E98_A6F9_5F9BF4C55C67_.wvu.PrintArea" localSheetId="20" hidden="1">'Acquis Budg'!$A$1:$F$42</definedName>
    <definedName name="Z_FBB4BF8E_8A9F_4E98_A6F9_5F9BF4C55C67_.wvu.PrintArea" localSheetId="9" hidden="1">'Devel. Bud'!$A$1:$F$86</definedName>
    <definedName name="Z_FBB4BF8E_8A9F_4E98_A6F9_5F9BF4C55C67_.wvu.PrintArea" localSheetId="3" hidden="1">'Devel. Bud-shltr'!$A$1:$F$85</definedName>
    <definedName name="Z_FBB4BF8E_8A9F_4E98_A6F9_5F9BF4C55C67_.wvu.PrintArea" localSheetId="12" hidden="1">'M and O'!$A$1:$E$41</definedName>
    <definedName name="Z_FBB4BF8E_8A9F_4E98_A6F9_5F9BF4C55C67_.wvu.PrintArea" localSheetId="14" hidden="1">Mort!$A$1:$L$54</definedName>
    <definedName name="Z_FBB4BF8E_8A9F_4E98_A6F9_5F9BF4C55C67_.wvu.PrintArea" localSheetId="21" hidden="1">'TD loan'!$A$1:$F$44</definedName>
    <definedName name="Z_FBB4BF8E_8A9F_4E98_A6F9_5F9BF4C55C67_.wvu.PrintArea" localSheetId="17" hidden="1">'Units &amp; Income'!$A$1:$E$43</definedName>
    <definedName name="Z_FBB4BF8E_8A9F_4E98_A6F9_5F9BF4C55C67_.wvu.PrintArea" localSheetId="11" hidden="1">'Units &amp; Income_rent'!$A$1:$E$46</definedName>
    <definedName name="Z_FBB4BF8E_8A9F_4E98_A6F9_5F9BF4C55C67_.wvu.PrintArea" localSheetId="5" hidden="1">'Units &amp; Income_shltr'!$A$1:$E$26</definedName>
    <definedName name="Z_FBB4BF8E_8A9F_4E98_A6F9_5F9BF4C55C67_.wvu.Rows" localSheetId="10" hidden="1">'Cons Int &amp; Neg Arb'!$54:$54</definedName>
    <definedName name="Z_FBB4BF8E_8A9F_4E98_A6F9_5F9BF4C55C67_.wvu.Rows" localSheetId="4" hidden="1">'Constr Interest-shltr'!$54:$54</definedName>
  </definedNames>
  <calcPr calcId="145621" calcMode="autoNoTable" iterate="1"/>
  <customWorkbookViews>
    <customWorkbookView name="NYC - Personal View" guid="{560D4AFA-61E5-46C3-B0CD-D0EB3053A033}" mergeInterval="0" personalView="1" maximized="1" windowWidth="994" windowHeight="554" tabRatio="734" activeSheetId="10" showComments="commIndAndComment"/>
    <customWorkbookView name="dandrepont - Personal View" guid="{1ECE83C7-A3CE-4F97-BFD3-498FF783C0D9}" mergeInterval="0" personalView="1" xWindow="365" yWindow="33" windowWidth="649" windowHeight="528" tabRatio="734" activeSheetId="5"/>
    <customWorkbookView name="akoffman - Personal View" guid="{6EF643BE-69F3-424E-8A44-3890161370D4}" mergeInterval="0" personalView="1" maximized="1" windowWidth="796" windowHeight="411" tabRatio="601" activeSheetId="5"/>
    <customWorkbookView name="rgrossman - Personal View" guid="{FBB4BF8E-8A9F-4E98-A6F9-5F9BF4C55C67}" mergeInterval="0" personalView="1" maximized="1" windowWidth="796" windowHeight="411" tabRatio="601" activeSheetId="5"/>
    <customWorkbookView name="  - Personal View" guid="{EB776EFC-3589-4DB5-BEAF-1E83D9703F9E}" mergeInterval="0" personalView="1" maximized="1" windowWidth="1020" windowHeight="632" tabRatio="601" activeSheetId="3"/>
    <customWorkbookView name="grodney - Personal View" guid="{AEA5979F-5357-4ED6-A6CA-1BB80F5C7A74}" mergeInterval="0" personalView="1" maximized="1" windowWidth="1020" windowHeight="604" tabRatio="601" activeSheetId="1"/>
    <customWorkbookView name="Shelly Fox - Personal View" guid="{28F81D13-D146-4D67-8981-BA5D7A496326}" mergeInterval="0" personalView="1" maximized="1" windowWidth="796" windowHeight="428" tabRatio="601" activeSheetId="5"/>
    <customWorkbookView name="framirez - Personal View" guid="{25C4E7E7-1006-4A2D-BC83-AEE4ADF8A914}" mergeInterval="0" personalView="1" maximized="1" windowWidth="796" windowHeight="402" tabRatio="734" activeSheetId="4"/>
  </customWorkbookViews>
</workbook>
</file>

<file path=xl/calcChain.xml><?xml version="1.0" encoding="utf-8"?>
<calcChain xmlns="http://schemas.openxmlformats.org/spreadsheetml/2006/main">
  <c r="C27" i="21" l="1"/>
  <c r="C26" i="21"/>
  <c r="H13" i="9" l="1"/>
  <c r="D97" i="24"/>
  <c r="D31" i="24"/>
  <c r="D75" i="5" l="1"/>
  <c r="D41" i="16" l="1"/>
  <c r="K41" i="16" s="1"/>
  <c r="E5" i="16" l="1"/>
  <c r="B5" i="16"/>
  <c r="H17" i="23"/>
  <c r="H18" i="23"/>
  <c r="H19" i="23"/>
  <c r="H20" i="23"/>
  <c r="H16" i="23"/>
  <c r="G30" i="23"/>
  <c r="E30" i="23"/>
  <c r="E5" i="23"/>
  <c r="D20" i="23"/>
  <c r="D19" i="23"/>
  <c r="D18" i="23"/>
  <c r="D17" i="23"/>
  <c r="D16" i="23"/>
  <c r="B35" i="21" l="1"/>
  <c r="B32" i="21"/>
  <c r="B8" i="21"/>
  <c r="B12" i="21"/>
  <c r="B13" i="21"/>
  <c r="B14" i="21"/>
  <c r="A14" i="21"/>
  <c r="A7" i="21"/>
  <c r="D12" i="24"/>
  <c r="E8" i="27"/>
  <c r="N82" i="16" l="1"/>
  <c r="N81" i="16"/>
  <c r="N83" i="16"/>
  <c r="A95" i="24"/>
  <c r="A83" i="24"/>
  <c r="A81" i="24"/>
  <c r="A13" i="21" s="1"/>
  <c r="A80" i="24"/>
  <c r="A12" i="21" s="1"/>
  <c r="D79" i="24"/>
  <c r="B11" i="21" s="1"/>
  <c r="A79" i="24"/>
  <c r="A11" i="21" s="1"/>
  <c r="D78" i="24"/>
  <c r="B10" i="21" s="1"/>
  <c r="A78" i="24"/>
  <c r="A10" i="21" s="1"/>
  <c r="D77" i="24"/>
  <c r="B9" i="21" s="1"/>
  <c r="A77" i="24"/>
  <c r="A9" i="21" s="1"/>
  <c r="A76" i="24"/>
  <c r="A8" i="21" s="1"/>
  <c r="D60" i="24"/>
  <c r="D82" i="24" s="1"/>
  <c r="D53" i="24"/>
  <c r="D32" i="24"/>
  <c r="D30" i="24"/>
  <c r="D29" i="24"/>
  <c r="D27" i="24"/>
  <c r="D26" i="24"/>
  <c r="D24" i="24"/>
  <c r="I2" i="24"/>
  <c r="D6" i="24" s="1"/>
  <c r="E22" i="23"/>
  <c r="E23" i="23" s="1"/>
  <c r="D22" i="23"/>
  <c r="B21" i="23"/>
  <c r="B23" i="23" s="1"/>
  <c r="D21" i="23"/>
  <c r="E8" i="23"/>
  <c r="E7" i="23"/>
  <c r="E6" i="23"/>
  <c r="B5" i="23"/>
  <c r="H2" i="23"/>
  <c r="A2" i="23"/>
  <c r="A1" i="23"/>
  <c r="B61" i="22"/>
  <c r="C60" i="22"/>
  <c r="C63" i="22" s="1"/>
  <c r="B60" i="22"/>
  <c r="B63" i="22" s="1"/>
  <c r="E49" i="22"/>
  <c r="E48" i="22"/>
  <c r="E41" i="22"/>
  <c r="D41" i="22"/>
  <c r="F41" i="22"/>
  <c r="A41" i="22"/>
  <c r="E40" i="22"/>
  <c r="A40" i="22"/>
  <c r="E39" i="22"/>
  <c r="A39" i="22"/>
  <c r="E38" i="22"/>
  <c r="E37" i="22"/>
  <c r="E36" i="22"/>
  <c r="B36" i="22"/>
  <c r="H35" i="22"/>
  <c r="E35" i="22"/>
  <c r="D35" i="22"/>
  <c r="B35" i="22"/>
  <c r="F35" i="22" s="1"/>
  <c r="B29" i="22"/>
  <c r="E47" i="22" s="1"/>
  <c r="B16" i="22"/>
  <c r="C16" i="22" s="1"/>
  <c r="C15" i="22"/>
  <c r="D36" i="22" s="1"/>
  <c r="C14" i="22"/>
  <c r="D37" i="22" s="1"/>
  <c r="E2" i="22"/>
  <c r="C35" i="21"/>
  <c r="C25" i="21"/>
  <c r="C24" i="21"/>
  <c r="C23" i="21"/>
  <c r="C22" i="21"/>
  <c r="C21" i="21"/>
  <c r="C20" i="21"/>
  <c r="A19" i="21"/>
  <c r="C14" i="21"/>
  <c r="C13" i="21"/>
  <c r="C12" i="21"/>
  <c r="C11" i="21"/>
  <c r="C10" i="21"/>
  <c r="C9" i="21"/>
  <c r="C8" i="21"/>
  <c r="E28" i="23" l="1"/>
  <c r="D10" i="24"/>
  <c r="D5" i="23"/>
  <c r="D23" i="23"/>
  <c r="E9" i="23"/>
  <c r="E24" i="23"/>
  <c r="K3" i="24"/>
  <c r="E6" i="27"/>
  <c r="E7" i="27" s="1"/>
  <c r="D65" i="24"/>
  <c r="D75" i="24"/>
  <c r="D84" i="24" s="1"/>
  <c r="H39" i="22"/>
  <c r="F36" i="22"/>
  <c r="B65" i="22"/>
  <c r="D39" i="22"/>
  <c r="F39" i="22" s="1"/>
  <c r="D49" i="22"/>
  <c r="F49" i="22" s="1"/>
  <c r="D48" i="22"/>
  <c r="F48" i="22" s="1"/>
  <c r="D40" i="22"/>
  <c r="F40" i="22" s="1"/>
  <c r="D38" i="22"/>
  <c r="D46" i="22"/>
  <c r="D47" i="22"/>
  <c r="B9" i="23"/>
  <c r="H36" i="22"/>
  <c r="H37" i="22" s="1"/>
  <c r="E46" i="22"/>
  <c r="C32" i="21"/>
  <c r="D14" i="24" l="1"/>
  <c r="D15" i="24" s="1"/>
  <c r="B10" i="24"/>
  <c r="D21" i="24"/>
  <c r="J10" i="24"/>
  <c r="J13" i="24" s="1"/>
  <c r="B10" i="22"/>
  <c r="B47" i="22" s="1"/>
  <c r="F47" i="22" s="1"/>
  <c r="B7" i="21"/>
  <c r="D87" i="24"/>
  <c r="D40" i="24"/>
  <c r="D37" i="24"/>
  <c r="D39" i="24"/>
  <c r="A5" i="23"/>
  <c r="A8" i="23"/>
  <c r="A6" i="23"/>
  <c r="A7" i="23"/>
  <c r="B19" i="21" l="1"/>
  <c r="C19" i="21" s="1"/>
  <c r="B8" i="22"/>
  <c r="C61" i="22" s="1"/>
  <c r="C65" i="22" s="1"/>
  <c r="B67" i="22" s="1"/>
  <c r="B33" i="21"/>
  <c r="C33" i="21" s="1"/>
  <c r="B15" i="24"/>
  <c r="G21" i="24"/>
  <c r="D34" i="24"/>
  <c r="D95" i="24"/>
  <c r="B37" i="22"/>
  <c r="F37" i="22" s="1"/>
  <c r="C72" i="22"/>
  <c r="C73" i="22" s="1"/>
  <c r="C74" i="22" s="1"/>
  <c r="B38" i="22"/>
  <c r="F38" i="22" s="1"/>
  <c r="B46" i="22"/>
  <c r="F46" i="22" s="1"/>
  <c r="F50" i="22" s="1"/>
  <c r="C7" i="21"/>
  <c r="B16" i="21"/>
  <c r="D7" i="21" s="1"/>
  <c r="D38" i="24"/>
  <c r="G37" i="24" s="1"/>
  <c r="I2" i="5"/>
  <c r="B29" i="21" l="1"/>
  <c r="C29" i="21" s="1"/>
  <c r="D99" i="24"/>
  <c r="B40" i="21" s="1"/>
  <c r="A12" i="27" s="1"/>
  <c r="D21" i="21"/>
  <c r="D24" i="21"/>
  <c r="D20" i="21"/>
  <c r="D22" i="21"/>
  <c r="D19" i="21"/>
  <c r="F42" i="22"/>
  <c r="H42" i="22" s="1"/>
  <c r="D12" i="21"/>
  <c r="D23" i="21"/>
  <c r="D13" i="21"/>
  <c r="D11" i="21"/>
  <c r="D8" i="21"/>
  <c r="D27" i="21"/>
  <c r="D10" i="21"/>
  <c r="D9" i="21"/>
  <c r="D14" i="21"/>
  <c r="C16" i="21"/>
  <c r="D26" i="21"/>
  <c r="D25" i="21"/>
  <c r="D45" i="24"/>
  <c r="D48" i="24" l="1"/>
  <c r="D57" i="24" s="1"/>
  <c r="D67" i="24" s="1"/>
  <c r="D16" i="21"/>
  <c r="D29" i="21"/>
  <c r="H74" i="16"/>
  <c r="H75" i="16"/>
  <c r="H73" i="16"/>
  <c r="G83" i="16"/>
  <c r="I83" i="16" s="1"/>
  <c r="G84" i="16"/>
  <c r="I84" i="16" s="1"/>
  <c r="G80" i="16"/>
  <c r="I80" i="16" s="1"/>
  <c r="G81" i="16"/>
  <c r="G82" i="16"/>
  <c r="I82" i="16" s="1"/>
  <c r="I81" i="16"/>
  <c r="H85" i="16"/>
  <c r="I88" i="16"/>
  <c r="I89" i="16"/>
  <c r="I90" i="16"/>
  <c r="I91" i="16"/>
  <c r="I92" i="16"/>
  <c r="H93" i="16"/>
  <c r="E64" i="24" l="1"/>
  <c r="B34" i="21"/>
  <c r="E70" i="24"/>
  <c r="D72" i="24"/>
  <c r="E89" i="24" s="1"/>
  <c r="I93" i="16"/>
  <c r="I85" i="16"/>
  <c r="B37" i="21" l="1"/>
  <c r="D34" i="21" s="1"/>
  <c r="C34" i="21"/>
  <c r="E88" i="24"/>
  <c r="E87" i="24"/>
  <c r="E94" i="24"/>
  <c r="E76" i="24"/>
  <c r="E93" i="24"/>
  <c r="E91" i="24"/>
  <c r="E90" i="24"/>
  <c r="E83" i="24"/>
  <c r="E72" i="24"/>
  <c r="E82" i="24"/>
  <c r="E75" i="24"/>
  <c r="E69" i="24"/>
  <c r="E77" i="24"/>
  <c r="E92" i="24"/>
  <c r="E78" i="24"/>
  <c r="E81" i="24"/>
  <c r="E80" i="24"/>
  <c r="E79" i="24"/>
  <c r="L19" i="5"/>
  <c r="D10" i="5"/>
  <c r="D32" i="21" l="1"/>
  <c r="D35" i="21"/>
  <c r="D33" i="21"/>
  <c r="C37" i="21"/>
  <c r="E95" i="24"/>
  <c r="E84" i="24"/>
  <c r="L17" i="5"/>
  <c r="L16" i="5"/>
  <c r="K16" i="5"/>
  <c r="L15" i="5"/>
  <c r="D37" i="21" l="1"/>
  <c r="K14" i="5"/>
  <c r="K12" i="5"/>
  <c r="K10" i="5"/>
  <c r="D53" i="5" l="1"/>
  <c r="D32" i="5"/>
  <c r="D30" i="5"/>
  <c r="D29" i="5"/>
  <c r="D27" i="5"/>
  <c r="D26" i="5"/>
  <c r="D24" i="5"/>
  <c r="D6" i="5"/>
  <c r="K6" i="5"/>
  <c r="B42" i="2" l="1"/>
  <c r="A13" i="27" s="1"/>
  <c r="A16" i="27" s="1"/>
  <c r="C14" i="3" l="1"/>
  <c r="D14" i="5"/>
  <c r="H76" i="16" l="1"/>
  <c r="H72" i="16"/>
  <c r="H77" i="16" l="1"/>
  <c r="H94" i="16"/>
  <c r="K3" i="5"/>
  <c r="L85" i="16" l="1"/>
  <c r="L77" i="16"/>
  <c r="P97" i="16"/>
  <c r="D43" i="5" l="1"/>
  <c r="D21" i="5"/>
  <c r="N57" i="16" l="1"/>
  <c r="N73" i="16" l="1"/>
  <c r="N74" i="16"/>
  <c r="N75" i="16"/>
  <c r="N58" i="16"/>
  <c r="N59" i="16"/>
  <c r="N66" i="16" l="1"/>
  <c r="A27" i="2" l="1"/>
  <c r="N65" i="16" l="1"/>
  <c r="N67" i="16"/>
  <c r="A14" i="2" l="1"/>
  <c r="A75" i="5" l="1"/>
  <c r="C62" i="6"/>
  <c r="B62" i="6"/>
  <c r="D41" i="5"/>
  <c r="D40" i="5"/>
  <c r="D39" i="5"/>
  <c r="H61" i="16" l="1"/>
  <c r="L61" i="16" s="1"/>
  <c r="H69" i="16"/>
  <c r="L69" i="16" s="1"/>
  <c r="D54" i="5" l="1"/>
  <c r="B9" i="16"/>
  <c r="D48" i="19"/>
  <c r="D46" i="19"/>
  <c r="D50" i="19" s="1"/>
  <c r="D27" i="19" s="1"/>
  <c r="G43" i="19"/>
  <c r="D28" i="19"/>
  <c r="D23" i="19"/>
  <c r="D22" i="19"/>
  <c r="D24" i="19" s="1"/>
  <c r="D19" i="19"/>
  <c r="D16" i="19"/>
  <c r="H11" i="19"/>
  <c r="H8" i="19"/>
  <c r="F2" i="19"/>
  <c r="E2" i="19"/>
  <c r="A2" i="19"/>
  <c r="A1" i="19"/>
  <c r="D50" i="18"/>
  <c r="D52" i="18" s="1"/>
  <c r="D29" i="18" s="1"/>
  <c r="D48" i="18"/>
  <c r="D25" i="18"/>
  <c r="D24" i="18"/>
  <c r="D26" i="18" s="1"/>
  <c r="D17" i="18"/>
  <c r="D16" i="18"/>
  <c r="D21" i="18" s="1"/>
  <c r="H11" i="18"/>
  <c r="H8" i="18"/>
  <c r="M7" i="18"/>
  <c r="M6" i="18"/>
  <c r="M5" i="18"/>
  <c r="F2" i="18"/>
  <c r="E2" i="18"/>
  <c r="A2" i="18"/>
  <c r="A1" i="18"/>
  <c r="D35" i="19" l="1"/>
  <c r="G27" i="19"/>
  <c r="G28" i="19" s="1"/>
  <c r="D38" i="19"/>
  <c r="D41" i="19" s="1"/>
  <c r="G29" i="18"/>
  <c r="G30" i="18" s="1"/>
  <c r="G14" i="18"/>
  <c r="D37" i="18"/>
  <c r="D40" i="18" s="1"/>
  <c r="D43" i="18" s="1"/>
  <c r="E43" i="18" s="1"/>
  <c r="J41" i="19" l="1"/>
  <c r="E41" i="19"/>
  <c r="J42" i="19"/>
  <c r="A40" i="9" l="1"/>
  <c r="B38" i="16" l="1"/>
  <c r="A40" i="6"/>
  <c r="E8" i="11" l="1"/>
  <c r="F76" i="16" l="1"/>
  <c r="F75" i="16"/>
  <c r="F74" i="16"/>
  <c r="F73" i="16"/>
  <c r="F72" i="16"/>
  <c r="C70" i="16"/>
  <c r="D75" i="16" s="1"/>
  <c r="E75" i="16" s="1"/>
  <c r="F68" i="16"/>
  <c r="F67" i="16"/>
  <c r="F66" i="16"/>
  <c r="F65" i="16"/>
  <c r="F64" i="16"/>
  <c r="C62" i="16"/>
  <c r="D67" i="16" s="1"/>
  <c r="E67" i="16" s="1"/>
  <c r="G67" i="16" s="1"/>
  <c r="F60" i="16"/>
  <c r="F59" i="16"/>
  <c r="F58" i="16"/>
  <c r="F57" i="16"/>
  <c r="F56" i="16"/>
  <c r="C54" i="16"/>
  <c r="D59" i="16" s="1"/>
  <c r="D30" i="16"/>
  <c r="E22" i="16"/>
  <c r="E23" i="16" s="1"/>
  <c r="D22" i="16"/>
  <c r="B21" i="16"/>
  <c r="D20" i="16"/>
  <c r="D19" i="16"/>
  <c r="D18" i="16"/>
  <c r="D17" i="16"/>
  <c r="D16" i="16"/>
  <c r="E8" i="16"/>
  <c r="B35" i="16" s="1"/>
  <c r="B7" i="16" s="1"/>
  <c r="E15" i="11" s="1"/>
  <c r="A8" i="16"/>
  <c r="E6" i="16"/>
  <c r="B33" i="16" s="1"/>
  <c r="D33" i="16" s="1"/>
  <c r="A6" i="16"/>
  <c r="A5" i="16"/>
  <c r="H2" i="16"/>
  <c r="A2" i="16"/>
  <c r="A1" i="16"/>
  <c r="A7" i="16" l="1"/>
  <c r="E7" i="16"/>
  <c r="D35" i="16"/>
  <c r="D15" i="4" s="1"/>
  <c r="I17" i="16"/>
  <c r="I18" i="16"/>
  <c r="I16" i="16"/>
  <c r="I19" i="16"/>
  <c r="I20" i="16"/>
  <c r="I67" i="16"/>
  <c r="G75" i="16"/>
  <c r="I75" i="16" s="1"/>
  <c r="E59" i="16"/>
  <c r="G59" i="16" s="1"/>
  <c r="I59" i="16" s="1"/>
  <c r="B23" i="16"/>
  <c r="F2" i="6" s="1"/>
  <c r="D21" i="16"/>
  <c r="D23" i="16" s="1"/>
  <c r="D6" i="3" s="1"/>
  <c r="C25" i="3" s="1"/>
  <c r="D56" i="16"/>
  <c r="E56" i="16" s="1"/>
  <c r="G56" i="16" s="1"/>
  <c r="I56" i="16" s="1"/>
  <c r="D64" i="16"/>
  <c r="E64" i="16" s="1"/>
  <c r="D72" i="16"/>
  <c r="E72" i="16" s="1"/>
  <c r="G72" i="16" s="1"/>
  <c r="I72" i="16" s="1"/>
  <c r="E9" i="16"/>
  <c r="D58" i="16"/>
  <c r="D60" i="16"/>
  <c r="E60" i="16" s="1"/>
  <c r="G60" i="16" s="1"/>
  <c r="I60" i="16" s="1"/>
  <c r="D66" i="16"/>
  <c r="D68" i="16"/>
  <c r="E68" i="16" s="1"/>
  <c r="G68" i="16" s="1"/>
  <c r="I68" i="16" s="1"/>
  <c r="D74" i="16"/>
  <c r="E74" i="16" s="1"/>
  <c r="G74" i="16" s="1"/>
  <c r="I74" i="16" s="1"/>
  <c r="D76" i="16"/>
  <c r="E76" i="16" s="1"/>
  <c r="G76" i="16" s="1"/>
  <c r="I76" i="16" s="1"/>
  <c r="D57" i="16"/>
  <c r="D65" i="16"/>
  <c r="E65" i="16" s="1"/>
  <c r="D73" i="16"/>
  <c r="E73" i="16" s="1"/>
  <c r="G73" i="16" s="1"/>
  <c r="I73" i="16" s="1"/>
  <c r="I77" i="16" l="1"/>
  <c r="G64" i="16"/>
  <c r="I64" i="16" s="1"/>
  <c r="G65" i="16"/>
  <c r="I65" i="16" s="1"/>
  <c r="D38" i="16"/>
  <c r="H2" i="9"/>
  <c r="E57" i="16"/>
  <c r="G57" i="16" s="1"/>
  <c r="I57" i="16" s="1"/>
  <c r="E58" i="16"/>
  <c r="G58" i="16" s="1"/>
  <c r="I58" i="16" s="1"/>
  <c r="E66" i="16"/>
  <c r="N2" i="8"/>
  <c r="D2" i="2"/>
  <c r="L2" i="4"/>
  <c r="E2" i="3"/>
  <c r="E24" i="16"/>
  <c r="I2" i="16"/>
  <c r="F2" i="5" s="1"/>
  <c r="D5" i="1"/>
  <c r="D16" i="4" l="1"/>
  <c r="D43" i="16"/>
  <c r="I98" i="16" s="1"/>
  <c r="G66" i="16"/>
  <c r="I66" i="16" s="1"/>
  <c r="I96" i="16" s="1"/>
  <c r="G18" i="3"/>
  <c r="G22" i="3"/>
  <c r="G15" i="3"/>
  <c r="G23" i="3"/>
  <c r="G25" i="3"/>
  <c r="D90" i="5"/>
  <c r="G6" i="5"/>
  <c r="C24" i="2"/>
  <c r="C26" i="3"/>
  <c r="G26" i="3" s="1"/>
  <c r="D21" i="3"/>
  <c r="D20" i="3"/>
  <c r="D19" i="3"/>
  <c r="B10" i="5"/>
  <c r="D60" i="5"/>
  <c r="D83" i="5" s="1"/>
  <c r="I61" i="16"/>
  <c r="H91" i="1"/>
  <c r="D74" i="3"/>
  <c r="I69" i="16" l="1"/>
  <c r="H42" i="4"/>
  <c r="H82" i="1"/>
  <c r="F78" i="1"/>
  <c r="F79" i="1"/>
  <c r="F80" i="1"/>
  <c r="F81" i="1"/>
  <c r="F77" i="1"/>
  <c r="D9" i="4" l="1"/>
  <c r="F54" i="1"/>
  <c r="F55" i="1"/>
  <c r="F56" i="1"/>
  <c r="F57" i="1"/>
  <c r="F53" i="1"/>
  <c r="F70" i="1"/>
  <c r="F71" i="1"/>
  <c r="F72" i="1"/>
  <c r="F73" i="1"/>
  <c r="F69" i="1"/>
  <c r="F61" i="1"/>
  <c r="F63" i="1"/>
  <c r="F62" i="1"/>
  <c r="E43" i="16" l="1"/>
  <c r="C24" i="3"/>
  <c r="G24" i="3" s="1"/>
  <c r="H74" i="1"/>
  <c r="C15" i="3" l="1"/>
  <c r="A28" i="2" l="1"/>
  <c r="A15" i="2" s="1"/>
  <c r="B28" i="2"/>
  <c r="B15" i="2" s="1"/>
  <c r="C15" i="2" s="1"/>
  <c r="K12" i="4" l="1"/>
  <c r="H31" i="4" s="1"/>
  <c r="E35" i="6"/>
  <c r="C15" i="6"/>
  <c r="D36" i="6" s="1"/>
  <c r="E36" i="6"/>
  <c r="E37" i="6"/>
  <c r="E38" i="6"/>
  <c r="B60" i="6"/>
  <c r="B63" i="6" s="1"/>
  <c r="C60" i="6"/>
  <c r="C63" i="6" s="1"/>
  <c r="B16" i="6"/>
  <c r="C16" i="6" s="1"/>
  <c r="J36" i="4"/>
  <c r="D27" i="4"/>
  <c r="E48" i="6"/>
  <c r="E49" i="6"/>
  <c r="B35" i="1"/>
  <c r="D35" i="1" s="1"/>
  <c r="E6" i="1"/>
  <c r="B33" i="1" s="1"/>
  <c r="D33" i="1" s="1"/>
  <c r="D14" i="4" s="1"/>
  <c r="D18" i="4" s="1"/>
  <c r="E7" i="1"/>
  <c r="E8" i="1"/>
  <c r="I24" i="4"/>
  <c r="A84" i="5"/>
  <c r="C36" i="9"/>
  <c r="A47" i="9"/>
  <c r="C19" i="3"/>
  <c r="G19" i="3" s="1"/>
  <c r="B19" i="3"/>
  <c r="C20" i="3"/>
  <c r="G20" i="3" s="1"/>
  <c r="C23" i="3"/>
  <c r="F64" i="1"/>
  <c r="E22" i="1"/>
  <c r="E23" i="1" s="1"/>
  <c r="F65" i="1"/>
  <c r="D19" i="1"/>
  <c r="C21" i="3"/>
  <c r="G21" i="3" s="1"/>
  <c r="D16" i="1"/>
  <c r="D18" i="1"/>
  <c r="D22" i="1"/>
  <c r="C59" i="1"/>
  <c r="D65" i="1" s="1"/>
  <c r="C51" i="1"/>
  <c r="H58" i="1"/>
  <c r="C67" i="1"/>
  <c r="C75" i="1"/>
  <c r="D20" i="1"/>
  <c r="D30" i="1"/>
  <c r="D13" i="4" s="1"/>
  <c r="I85" i="1"/>
  <c r="I86" i="1"/>
  <c r="I87" i="1"/>
  <c r="I88" i="1"/>
  <c r="I89" i="1"/>
  <c r="B9" i="1"/>
  <c r="A5" i="1" s="1"/>
  <c r="D41" i="6"/>
  <c r="D31" i="10"/>
  <c r="D35" i="10" s="1"/>
  <c r="C14" i="6"/>
  <c r="D35" i="6" s="1"/>
  <c r="E39" i="6"/>
  <c r="H35" i="6" s="1"/>
  <c r="E40" i="6"/>
  <c r="E41" i="6"/>
  <c r="B29" i="6"/>
  <c r="E47" i="6" s="1"/>
  <c r="C13" i="9"/>
  <c r="C14" i="9"/>
  <c r="C15" i="9"/>
  <c r="A13" i="9"/>
  <c r="A14" i="9"/>
  <c r="A15" i="9"/>
  <c r="A16" i="9"/>
  <c r="C12" i="9"/>
  <c r="F1" i="11"/>
  <c r="A2" i="11"/>
  <c r="A1" i="11"/>
  <c r="D1" i="10"/>
  <c r="A2" i="10"/>
  <c r="A1" i="10"/>
  <c r="C24" i="9"/>
  <c r="C26" i="9"/>
  <c r="C27" i="9"/>
  <c r="C28" i="9"/>
  <c r="C29" i="9"/>
  <c r="C30" i="9"/>
  <c r="C31" i="9"/>
  <c r="C33" i="9"/>
  <c r="C34" i="9"/>
  <c r="E14" i="11"/>
  <c r="A8" i="2"/>
  <c r="A21" i="2" s="1"/>
  <c r="A77" i="5"/>
  <c r="A9" i="2" s="1"/>
  <c r="A22" i="2" s="1"/>
  <c r="A78" i="5"/>
  <c r="A10" i="2" s="1"/>
  <c r="A23" i="2" s="1"/>
  <c r="A80" i="5"/>
  <c r="A12" i="2" s="1"/>
  <c r="A25" i="2" s="1"/>
  <c r="A81" i="5"/>
  <c r="A13" i="2" s="1"/>
  <c r="A26" i="2" s="1"/>
  <c r="A82" i="5"/>
  <c r="A41" i="6"/>
  <c r="A39" i="6"/>
  <c r="C54" i="9"/>
  <c r="C55" i="9"/>
  <c r="C56" i="9"/>
  <c r="C58" i="9"/>
  <c r="A46" i="9"/>
  <c r="G2" i="9"/>
  <c r="M2" i="8"/>
  <c r="K2" i="4"/>
  <c r="D2" i="3"/>
  <c r="H2" i="1"/>
  <c r="E2" i="6"/>
  <c r="E2" i="5"/>
  <c r="A65" i="9"/>
  <c r="A67" i="9"/>
  <c r="A69" i="9"/>
  <c r="A71" i="9"/>
  <c r="A73" i="9"/>
  <c r="A37" i="9"/>
  <c r="A39" i="9"/>
  <c r="A41" i="9"/>
  <c r="A42" i="9"/>
  <c r="A43" i="9"/>
  <c r="A44" i="9"/>
  <c r="C44" i="9"/>
  <c r="A45" i="9"/>
  <c r="A48" i="9"/>
  <c r="A50" i="9"/>
  <c r="A51" i="9"/>
  <c r="A52" i="9"/>
  <c r="A53" i="9"/>
  <c r="A54" i="9"/>
  <c r="A55" i="9"/>
  <c r="A56" i="9"/>
  <c r="A57" i="9"/>
  <c r="C57" i="9"/>
  <c r="A58" i="9"/>
  <c r="A59" i="9"/>
  <c r="A61" i="9"/>
  <c r="A62" i="9"/>
  <c r="C62" i="9"/>
  <c r="A63" i="9"/>
  <c r="A64" i="9"/>
  <c r="C64" i="9"/>
  <c r="A7" i="2"/>
  <c r="A20" i="2" s="1"/>
  <c r="A35" i="9"/>
  <c r="A36" i="9"/>
  <c r="A25" i="9"/>
  <c r="A26" i="9"/>
  <c r="A27" i="9"/>
  <c r="A28" i="9"/>
  <c r="A29" i="9"/>
  <c r="A30" i="9"/>
  <c r="A31" i="9"/>
  <c r="A32" i="9"/>
  <c r="A33" i="9"/>
  <c r="A34" i="9"/>
  <c r="C8" i="9"/>
  <c r="A10" i="9"/>
  <c r="A11" i="9"/>
  <c r="A12" i="9"/>
  <c r="A19" i="9"/>
  <c r="A22" i="9"/>
  <c r="A24" i="9"/>
  <c r="A8" i="9"/>
  <c r="A2" i="9"/>
  <c r="A1" i="9"/>
  <c r="H15" i="4"/>
  <c r="A2" i="8"/>
  <c r="A97" i="5"/>
  <c r="A1" i="1"/>
  <c r="A1" i="8" s="1"/>
  <c r="A1" i="5"/>
  <c r="A1" i="6" s="1"/>
  <c r="A1" i="3" s="1"/>
  <c r="B33" i="2"/>
  <c r="C33" i="2" s="1"/>
  <c r="A2" i="1"/>
  <c r="A2" i="5" s="1"/>
  <c r="A2" i="6" s="1"/>
  <c r="A2" i="3" s="1"/>
  <c r="A2" i="4" s="1"/>
  <c r="A7" i="1"/>
  <c r="C53" i="9"/>
  <c r="C32" i="9"/>
  <c r="H66" i="1"/>
  <c r="D47" i="6"/>
  <c r="D72" i="1"/>
  <c r="E72" i="1" s="1"/>
  <c r="G72" i="1" s="1"/>
  <c r="I72" i="1" s="1"/>
  <c r="D70" i="1"/>
  <c r="E70" i="1" s="1"/>
  <c r="G70" i="1" s="1"/>
  <c r="I70" i="1" s="1"/>
  <c r="D55" i="1"/>
  <c r="E55" i="1" s="1"/>
  <c r="G55" i="1" s="1"/>
  <c r="I55" i="1" s="1"/>
  <c r="D53" i="1"/>
  <c r="E53" i="1" s="1"/>
  <c r="G53" i="1" s="1"/>
  <c r="I53" i="1" s="1"/>
  <c r="B21" i="1"/>
  <c r="B23" i="1" s="1"/>
  <c r="C28" i="2" s="1"/>
  <c r="D80" i="1"/>
  <c r="E80" i="1" s="1"/>
  <c r="G80" i="1" s="1"/>
  <c r="I80" i="1" s="1"/>
  <c r="D79" i="1"/>
  <c r="E79" i="1" s="1"/>
  <c r="G79" i="1" s="1"/>
  <c r="I79" i="1" s="1"/>
  <c r="D78" i="1"/>
  <c r="E78" i="1" s="1"/>
  <c r="G78" i="1" s="1"/>
  <c r="I78" i="1" s="1"/>
  <c r="D63" i="1"/>
  <c r="E63" i="1" s="1"/>
  <c r="G63" i="1" s="1"/>
  <c r="I63" i="1" s="1"/>
  <c r="D56" i="1"/>
  <c r="E56" i="1" s="1"/>
  <c r="G56" i="1" s="1"/>
  <c r="I56" i="1" s="1"/>
  <c r="C25" i="9"/>
  <c r="D61" i="1"/>
  <c r="E61" i="1" s="1"/>
  <c r="G61" i="1" s="1"/>
  <c r="I61" i="1" s="1"/>
  <c r="E65" i="1"/>
  <c r="G65" i="1" s="1"/>
  <c r="I65" i="1" s="1"/>
  <c r="D46" i="6"/>
  <c r="D62" i="1"/>
  <c r="E62" i="1" s="1"/>
  <c r="G62" i="1" s="1"/>
  <c r="I62" i="1" s="1"/>
  <c r="B38" i="1"/>
  <c r="D38" i="1" s="1"/>
  <c r="K36" i="4"/>
  <c r="B27" i="2"/>
  <c r="C27" i="2" s="1"/>
  <c r="I23" i="4"/>
  <c r="J34" i="4"/>
  <c r="J33" i="4" s="1"/>
  <c r="B22" i="2"/>
  <c r="C22" i="2" s="1"/>
  <c r="D52" i="9"/>
  <c r="E46" i="6" l="1"/>
  <c r="E24" i="1"/>
  <c r="D38" i="6"/>
  <c r="D37" i="6"/>
  <c r="D39" i="6"/>
  <c r="D40" i="6"/>
  <c r="D49" i="6"/>
  <c r="D48" i="6"/>
  <c r="H39" i="6"/>
  <c r="A6" i="1"/>
  <c r="A8" i="1"/>
  <c r="D64" i="1"/>
  <c r="E64" i="1" s="1"/>
  <c r="G64" i="1" s="1"/>
  <c r="I64" i="1" s="1"/>
  <c r="I66" i="1" s="1"/>
  <c r="D69" i="1"/>
  <c r="E69" i="1" s="1"/>
  <c r="G69" i="1" s="1"/>
  <c r="I69" i="1" s="1"/>
  <c r="D73" i="1"/>
  <c r="E73" i="1" s="1"/>
  <c r="G73" i="1" s="1"/>
  <c r="I73" i="1" s="1"/>
  <c r="D57" i="1"/>
  <c r="E57" i="1" s="1"/>
  <c r="G57" i="1" s="1"/>
  <c r="I57" i="1" s="1"/>
  <c r="D77" i="1"/>
  <c r="E77" i="1" s="1"/>
  <c r="G77" i="1" s="1"/>
  <c r="I77" i="1" s="1"/>
  <c r="D81" i="1"/>
  <c r="E81" i="1" s="1"/>
  <c r="E18" i="11"/>
  <c r="D54" i="1"/>
  <c r="E54" i="1" s="1"/>
  <c r="G54" i="1" s="1"/>
  <c r="I54" i="1" s="1"/>
  <c r="D71" i="1"/>
  <c r="E71" i="1" s="1"/>
  <c r="G71" i="1" s="1"/>
  <c r="I71" i="1" s="1"/>
  <c r="D40" i="1"/>
  <c r="I2" i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H7" i="9"/>
  <c r="D17" i="4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D19" i="4"/>
  <c r="C12" i="8" s="1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D17" i="1"/>
  <c r="D21" i="1" s="1"/>
  <c r="D23" i="1" s="1"/>
  <c r="G1" i="11"/>
  <c r="G81" i="1"/>
  <c r="I81" i="1" s="1"/>
  <c r="D20" i="4"/>
  <c r="E1" i="10"/>
  <c r="D15" i="5"/>
  <c r="C16" i="9"/>
  <c r="P12" i="8" l="1"/>
  <c r="B15" i="5"/>
  <c r="I74" i="1"/>
  <c r="I82" i="1"/>
  <c r="I58" i="1"/>
  <c r="C30" i="3"/>
  <c r="G30" i="3" s="1"/>
  <c r="C27" i="3"/>
  <c r="G27" i="3" s="1"/>
  <c r="C28" i="3"/>
  <c r="G28" i="3" s="1"/>
  <c r="I93" i="1"/>
  <c r="H8" i="9"/>
  <c r="H9" i="9" s="1"/>
  <c r="C12" i="3"/>
  <c r="G12" i="3" s="1"/>
  <c r="C17" i="3"/>
  <c r="G17" i="3" s="1"/>
  <c r="C13" i="3"/>
  <c r="G13" i="3" s="1"/>
  <c r="C16" i="3"/>
  <c r="G16" i="3" s="1"/>
  <c r="C10" i="3"/>
  <c r="G10" i="3" s="1"/>
  <c r="C11" i="3"/>
  <c r="G11" i="3" s="1"/>
  <c r="C9" i="3"/>
  <c r="G9" i="3" s="1"/>
  <c r="E15" i="5"/>
  <c r="C19" i="9"/>
  <c r="B34" i="2"/>
  <c r="C34" i="2" s="1"/>
  <c r="D21" i="4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D42" i="5"/>
  <c r="E9" i="1"/>
  <c r="E16" i="5" s="1"/>
  <c r="G31" i="3" l="1"/>
  <c r="Q12" i="8"/>
  <c r="D12" i="9"/>
  <c r="I95" i="1"/>
  <c r="E40" i="1" s="1"/>
  <c r="D10" i="4"/>
  <c r="D11" i="4" s="1"/>
  <c r="D28" i="9"/>
  <c r="D36" i="9"/>
  <c r="D33" i="9"/>
  <c r="D15" i="9"/>
  <c r="D26" i="9"/>
  <c r="D34" i="9"/>
  <c r="D30" i="9"/>
  <c r="D14" i="9"/>
  <c r="D24" i="9"/>
  <c r="D56" i="9"/>
  <c r="D25" i="9"/>
  <c r="D13" i="9"/>
  <c r="D54" i="9"/>
  <c r="D58" i="9"/>
  <c r="D31" i="9"/>
  <c r="D32" i="9"/>
  <c r="D55" i="9"/>
  <c r="D29" i="9"/>
  <c r="D27" i="9"/>
  <c r="C45" i="9"/>
  <c r="D45" i="9" s="1"/>
  <c r="B27" i="4"/>
  <c r="D28" i="4"/>
  <c r="D16" i="9"/>
  <c r="D23" i="4" l="1"/>
  <c r="C9" i="8"/>
  <c r="C18" i="8"/>
  <c r="B28" i="4"/>
  <c r="D19" i="9"/>
  <c r="D18" i="8" l="1"/>
  <c r="C14" i="8"/>
  <c r="D9" i="8"/>
  <c r="E18" i="8" l="1"/>
  <c r="D14" i="8"/>
  <c r="E9" i="8"/>
  <c r="F18" i="8" l="1"/>
  <c r="E14" i="8"/>
  <c r="F9" i="8"/>
  <c r="G18" i="8" l="1"/>
  <c r="F14" i="8"/>
  <c r="G9" i="8"/>
  <c r="H18" i="8" l="1"/>
  <c r="H9" i="8"/>
  <c r="G14" i="8"/>
  <c r="I18" i="8" l="1"/>
  <c r="H14" i="8"/>
  <c r="I9" i="8"/>
  <c r="J18" i="8" l="1"/>
  <c r="I14" i="8"/>
  <c r="J9" i="8"/>
  <c r="K18" i="8" l="1"/>
  <c r="K9" i="8"/>
  <c r="J14" i="8"/>
  <c r="L18" i="8" l="1"/>
  <c r="L9" i="8"/>
  <c r="K14" i="8"/>
  <c r="M18" i="8" l="1"/>
  <c r="M9" i="8"/>
  <c r="L14" i="8"/>
  <c r="N18" i="8" l="1"/>
  <c r="N9" i="8"/>
  <c r="M14" i="8"/>
  <c r="O18" i="8" l="1"/>
  <c r="P18" i="8" s="1"/>
  <c r="Q18" i="8" s="1"/>
  <c r="N14" i="8"/>
  <c r="O9" i="8"/>
  <c r="B11" i="2"/>
  <c r="C11" i="2" s="1"/>
  <c r="P9" i="8" l="1"/>
  <c r="O14" i="8"/>
  <c r="C43" i="9"/>
  <c r="D43" i="9" s="1"/>
  <c r="B7" i="2"/>
  <c r="C7" i="2" s="1"/>
  <c r="C42" i="9"/>
  <c r="B10" i="6"/>
  <c r="Q9" i="8" l="1"/>
  <c r="Q14" i="8" s="1"/>
  <c r="P14" i="8"/>
  <c r="B46" i="6"/>
  <c r="F46" i="6" s="1"/>
  <c r="C72" i="6"/>
  <c r="B47" i="6"/>
  <c r="F47" i="6" s="1"/>
  <c r="C73" i="6" l="1"/>
  <c r="C74" i="6" s="1"/>
  <c r="D38" i="5" l="1"/>
  <c r="D37" i="5"/>
  <c r="G37" i="5" l="1"/>
  <c r="C40" i="9"/>
  <c r="D40" i="9" s="1"/>
  <c r="B23" i="2" l="1"/>
  <c r="D78" i="5"/>
  <c r="B10" i="2" s="1"/>
  <c r="C10" i="2" s="1"/>
  <c r="C23" i="2" l="1"/>
  <c r="B41" i="6"/>
  <c r="F41" i="6" s="1"/>
  <c r="C31" i="3" l="1"/>
  <c r="G4" i="3" l="1"/>
  <c r="D32" i="3"/>
  <c r="C37" i="3"/>
  <c r="D33" i="3"/>
  <c r="D26" i="4" s="1"/>
  <c r="C38" i="3" l="1"/>
  <c r="C39" i="3"/>
  <c r="C44" i="3"/>
  <c r="B26" i="4"/>
  <c r="B29" i="4" s="1"/>
  <c r="C17" i="8"/>
  <c r="D29" i="4"/>
  <c r="D35" i="4" s="1"/>
  <c r="D32" i="4" l="1"/>
  <c r="D37" i="4" s="1"/>
  <c r="C19" i="8"/>
  <c r="C21" i="8" s="1"/>
  <c r="D17" i="8"/>
  <c r="D19" i="8" l="1"/>
  <c r="D21" i="8" s="1"/>
  <c r="E17" i="8"/>
  <c r="D40" i="4"/>
  <c r="D41" i="4" l="1"/>
  <c r="H36" i="4"/>
  <c r="H37" i="4" s="1"/>
  <c r="F17" i="8"/>
  <c r="E19" i="8"/>
  <c r="E21" i="8" s="1"/>
  <c r="D38" i="4"/>
  <c r="I36" i="4" l="1"/>
  <c r="I30" i="4" s="1"/>
  <c r="I34" i="4" s="1"/>
  <c r="L36" i="4"/>
  <c r="H38" i="4"/>
  <c r="H39" i="4" s="1"/>
  <c r="H30" i="4"/>
  <c r="H33" i="4" s="1"/>
  <c r="F19" i="8"/>
  <c r="F21" i="8" s="1"/>
  <c r="G17" i="8"/>
  <c r="I38" i="4" l="1"/>
  <c r="I39" i="4" s="1"/>
  <c r="I45" i="4" s="1"/>
  <c r="I37" i="4"/>
  <c r="J37" i="4"/>
  <c r="H45" i="4"/>
  <c r="J38" i="4"/>
  <c r="C23" i="8"/>
  <c r="L37" i="4"/>
  <c r="G19" i="8"/>
  <c r="G21" i="8" s="1"/>
  <c r="H17" i="8"/>
  <c r="I21" i="4"/>
  <c r="D88" i="5"/>
  <c r="J39" i="4" l="1"/>
  <c r="C31" i="8"/>
  <c r="D62" i="5" s="1"/>
  <c r="H19" i="8"/>
  <c r="H21" i="8" s="1"/>
  <c r="I17" i="8"/>
  <c r="B8" i="6"/>
  <c r="B20" i="2"/>
  <c r="D23" i="8"/>
  <c r="C25" i="8"/>
  <c r="C41" i="9" l="1"/>
  <c r="H10" i="9"/>
  <c r="C20" i="2"/>
  <c r="C61" i="6"/>
  <c r="C65" i="6" s="1"/>
  <c r="C8" i="6"/>
  <c r="B38" i="6"/>
  <c r="F38" i="6" s="1"/>
  <c r="B37" i="6"/>
  <c r="F37" i="6" s="1"/>
  <c r="B9" i="6"/>
  <c r="I19" i="8"/>
  <c r="I21" i="8" s="1"/>
  <c r="J17" i="8"/>
  <c r="E23" i="8"/>
  <c r="D25" i="8"/>
  <c r="D41" i="9" l="1"/>
  <c r="D48" i="9" s="1"/>
  <c r="C9" i="6"/>
  <c r="B35" i="6"/>
  <c r="B36" i="6"/>
  <c r="F36" i="6" s="1"/>
  <c r="B61" i="6"/>
  <c r="B65" i="6" s="1"/>
  <c r="B67" i="6" s="1"/>
  <c r="D49" i="5" s="1"/>
  <c r="C52" i="9" s="1"/>
  <c r="J19" i="8"/>
  <c r="J21" i="8" s="1"/>
  <c r="K17" i="8"/>
  <c r="F23" i="8"/>
  <c r="E25" i="8"/>
  <c r="G23" i="8" l="1"/>
  <c r="F25" i="8"/>
  <c r="K19" i="8"/>
  <c r="K21" i="8" s="1"/>
  <c r="L17" i="8"/>
  <c r="F35" i="6"/>
  <c r="E30" i="8"/>
  <c r="L19" i="8" l="1"/>
  <c r="L21" i="8" s="1"/>
  <c r="M17" i="8"/>
  <c r="H23" i="8"/>
  <c r="G25" i="8"/>
  <c r="I23" i="8" l="1"/>
  <c r="H25" i="8"/>
  <c r="F30" i="8"/>
  <c r="N17" i="8"/>
  <c r="M19" i="8"/>
  <c r="M21" i="8" s="1"/>
  <c r="G30" i="8"/>
  <c r="N19" i="8" l="1"/>
  <c r="N21" i="8" s="1"/>
  <c r="O17" i="8"/>
  <c r="H30" i="8"/>
  <c r="J23" i="8"/>
  <c r="I25" i="8"/>
  <c r="O19" i="8" l="1"/>
  <c r="O21" i="8" s="1"/>
  <c r="P17" i="8"/>
  <c r="K23" i="8"/>
  <c r="J25" i="8"/>
  <c r="I30" i="8"/>
  <c r="Q17" i="8" l="1"/>
  <c r="Q19" i="8" s="1"/>
  <c r="Q21" i="8" s="1"/>
  <c r="P19" i="8"/>
  <c r="P21" i="8" s="1"/>
  <c r="J30" i="8"/>
  <c r="L23" i="8"/>
  <c r="K25" i="8"/>
  <c r="M23" i="8" l="1"/>
  <c r="L25" i="8"/>
  <c r="K30" i="8"/>
  <c r="L30" i="8" l="1"/>
  <c r="N23" i="8"/>
  <c r="O23" i="8" s="1"/>
  <c r="M25" i="8"/>
  <c r="P23" i="8" l="1"/>
  <c r="O25" i="8"/>
  <c r="N25" i="8"/>
  <c r="M30" i="8"/>
  <c r="Q23" i="8" l="1"/>
  <c r="Q25" i="8" s="1"/>
  <c r="P25" i="8"/>
  <c r="C27" i="8"/>
  <c r="C28" i="8" l="1"/>
  <c r="B14" i="2" l="1"/>
  <c r="C14" i="2" s="1"/>
  <c r="C63" i="9"/>
  <c r="H14" i="9" l="1"/>
  <c r="D44" i="5" s="1"/>
  <c r="H15" i="9" l="1"/>
  <c r="H16" i="9" s="1"/>
  <c r="D93" i="5" s="1"/>
  <c r="C47" i="9"/>
  <c r="D45" i="5"/>
  <c r="H19" i="9" l="1"/>
  <c r="B25" i="2"/>
  <c r="D80" i="5"/>
  <c r="C48" i="9"/>
  <c r="C25" i="2" l="1"/>
  <c r="F80" i="5"/>
  <c r="B12" i="2"/>
  <c r="C12" i="2" l="1"/>
  <c r="N30" i="8"/>
  <c r="I22" i="4" l="1"/>
  <c r="I25" i="4" s="1"/>
  <c r="L30" i="4" l="1"/>
  <c r="H41" i="4"/>
  <c r="D89" i="5"/>
  <c r="B21" i="2" l="1"/>
  <c r="D77" i="5"/>
  <c r="B49" i="6" l="1"/>
  <c r="F49" i="6" s="1"/>
  <c r="B9" i="2"/>
  <c r="B40" i="6"/>
  <c r="F40" i="6" s="1"/>
  <c r="C21" i="2"/>
  <c r="C9" i="2" l="1"/>
  <c r="D65" i="5" l="1"/>
  <c r="J72" i="5"/>
  <c r="C65" i="9"/>
  <c r="D65" i="9"/>
  <c r="D67" i="9" s="1"/>
  <c r="C67" i="9"/>
  <c r="H36" i="6"/>
  <c r="H37" i="6"/>
  <c r="B39" i="6"/>
  <c r="F39" i="6"/>
  <c r="F42" i="6"/>
  <c r="H42" i="6"/>
  <c r="B48" i="6"/>
  <c r="F48" i="6"/>
  <c r="F50" i="6"/>
  <c r="D31" i="5"/>
  <c r="D34" i="5"/>
  <c r="D48" i="5"/>
  <c r="D57" i="5"/>
  <c r="E64" i="5"/>
  <c r="D67" i="5"/>
  <c r="G67" i="5"/>
  <c r="D69" i="5"/>
  <c r="E69" i="5"/>
  <c r="E70" i="5"/>
  <c r="D72" i="5"/>
  <c r="E72" i="5"/>
  <c r="G74" i="5"/>
  <c r="E75" i="5"/>
  <c r="G75" i="5"/>
  <c r="D76" i="5"/>
  <c r="E76" i="5"/>
  <c r="G76" i="5"/>
  <c r="E77" i="5"/>
  <c r="E78" i="5"/>
  <c r="E79" i="5"/>
  <c r="E80" i="5"/>
  <c r="D81" i="5"/>
  <c r="E81" i="5"/>
  <c r="E82" i="5"/>
  <c r="E83" i="5"/>
  <c r="E84" i="5"/>
  <c r="D85" i="5"/>
  <c r="E85" i="5"/>
  <c r="D86" i="5"/>
  <c r="E88" i="5"/>
  <c r="E89" i="5"/>
  <c r="E90" i="5"/>
  <c r="E91" i="5"/>
  <c r="E92" i="5"/>
  <c r="E93" i="5"/>
  <c r="D94" i="5"/>
  <c r="E94" i="5"/>
  <c r="E95" i="5"/>
  <c r="E96" i="5"/>
  <c r="D97" i="5"/>
  <c r="E97" i="5"/>
  <c r="D99" i="5"/>
  <c r="D101" i="5"/>
  <c r="D103" i="5"/>
  <c r="D7" i="2"/>
  <c r="B8" i="2"/>
  <c r="C8" i="2"/>
  <c r="D8" i="2"/>
  <c r="D9" i="2"/>
  <c r="D10" i="2"/>
  <c r="D11" i="2"/>
  <c r="D12" i="2"/>
  <c r="B13" i="2"/>
  <c r="C13" i="2"/>
  <c r="D13" i="2"/>
  <c r="D14" i="2"/>
  <c r="D15" i="2"/>
  <c r="B17" i="2"/>
  <c r="C17" i="2"/>
  <c r="D17" i="2"/>
  <c r="D20" i="2"/>
  <c r="D21" i="2"/>
  <c r="D22" i="2"/>
  <c r="D23" i="2"/>
  <c r="D24" i="2"/>
  <c r="D25" i="2"/>
  <c r="B26" i="2"/>
  <c r="C26" i="2"/>
  <c r="D26" i="2"/>
  <c r="D27" i="2"/>
  <c r="D28" i="2"/>
  <c r="B30" i="2"/>
  <c r="C30" i="2"/>
  <c r="D30" i="2"/>
  <c r="D33" i="2"/>
  <c r="D34" i="2"/>
  <c r="B35" i="2"/>
  <c r="C35" i="2"/>
  <c r="D35" i="2"/>
  <c r="B36" i="2"/>
  <c r="C36" i="2"/>
  <c r="D36" i="2"/>
  <c r="B38" i="2"/>
  <c r="C38" i="2"/>
  <c r="D38" i="2"/>
  <c r="B40" i="2"/>
  <c r="H20" i="9"/>
  <c r="C35" i="9"/>
  <c r="D35" i="9"/>
  <c r="C37" i="9"/>
  <c r="D37" i="9"/>
  <c r="C51" i="9"/>
  <c r="D51" i="9"/>
  <c r="C59" i="9"/>
  <c r="D59" i="9"/>
  <c r="C69" i="9"/>
  <c r="D69" i="9"/>
  <c r="C71" i="9"/>
  <c r="D71" i="9"/>
  <c r="C73" i="9"/>
  <c r="D73" i="9"/>
  <c r="D75" i="9"/>
</calcChain>
</file>

<file path=xl/comments1.xml><?xml version="1.0" encoding="utf-8"?>
<comments xmlns="http://schemas.openxmlformats.org/spreadsheetml/2006/main">
  <authors>
    <author>NYC</author>
  </authors>
  <commentList>
    <comment ref="H28" authorId="0">
      <text>
        <r>
          <rPr>
            <b/>
            <sz val="8"/>
            <color indexed="81"/>
            <rFont val="Tahoma"/>
            <family val="2"/>
          </rPr>
          <t>NYC:</t>
        </r>
        <r>
          <rPr>
            <sz val="8"/>
            <color indexed="81"/>
            <rFont val="Tahoma"/>
            <family val="2"/>
          </rPr>
          <t xml:space="preserve">
If I:E ratio or 1st mort DSCR is more restrictive than combined DSCR, then you need to reduce 1st mort here</t>
        </r>
      </text>
    </comment>
  </commentList>
</comments>
</file>

<file path=xl/sharedStrings.xml><?xml version="1.0" encoding="utf-8"?>
<sst xmlns="http://schemas.openxmlformats.org/spreadsheetml/2006/main" count="1162" uniqueCount="546">
  <si>
    <t># of Units</t>
  </si>
  <si>
    <t>Total</t>
  </si>
  <si>
    <t># of Spaces</t>
  </si>
  <si>
    <t>Monthly Rent</t>
  </si>
  <si>
    <t>Annual Income</t>
  </si>
  <si>
    <t>Total s.f.</t>
  </si>
  <si>
    <t>Annual Rent/s.f.</t>
  </si>
  <si>
    <t># units</t>
  </si>
  <si>
    <t>Laundry</t>
  </si>
  <si>
    <t>SOURCES AND USES</t>
  </si>
  <si>
    <t xml:space="preserve">         TOTAL SOURCES</t>
  </si>
  <si>
    <t xml:space="preserve">     Acquisition Cost</t>
  </si>
  <si>
    <t xml:space="preserve">     Construction Cost</t>
  </si>
  <si>
    <t xml:space="preserve">     Soft Cost</t>
  </si>
  <si>
    <t xml:space="preserve">     Developer's Fee</t>
  </si>
  <si>
    <t xml:space="preserve">          TOTAL USES</t>
  </si>
  <si>
    <t>Supplies/Cleaning/Exterminating</t>
  </si>
  <si>
    <t>per room</t>
  </si>
  <si>
    <t>Heating</t>
  </si>
  <si>
    <t>per unit</t>
  </si>
  <si>
    <t>Painting</t>
  </si>
  <si>
    <t>Superintendent &amp; Maintenance Staff Salaries</t>
  </si>
  <si>
    <t>Number of:</t>
  </si>
  <si>
    <t xml:space="preserve">Elevator Maintenance &amp; Repairs </t>
  </si>
  <si>
    <t xml:space="preserve">Management Fee </t>
  </si>
  <si>
    <t xml:space="preserve">Water &amp; Sewer </t>
  </si>
  <si>
    <t xml:space="preserve">Fire and Liability Insurance </t>
  </si>
  <si>
    <t xml:space="preserve">Replacement Reserve </t>
  </si>
  <si>
    <t>M &amp; O Before Taxes and Debt Service</t>
  </si>
  <si>
    <t>Real estate taxes</t>
  </si>
  <si>
    <t>Total Expenses</t>
  </si>
  <si>
    <t>Determination of Maximum Insurable Mortgage</t>
  </si>
  <si>
    <t>Net Residential Income</t>
  </si>
  <si>
    <t>MIP</t>
  </si>
  <si>
    <t>Sum of above rates</t>
  </si>
  <si>
    <t xml:space="preserve">Ancillary/Laundry </t>
  </si>
  <si>
    <t>Total Supportable First Mortgage</t>
  </si>
  <si>
    <t>Total Combined Debt</t>
  </si>
  <si>
    <t>1st Loan</t>
  </si>
  <si>
    <t>2nd Loan</t>
  </si>
  <si>
    <t>Maintenance/Operating</t>
  </si>
  <si>
    <t xml:space="preserve">Real estate taxes </t>
  </si>
  <si>
    <t>Term</t>
  </si>
  <si>
    <t>Replacement Reserve</t>
  </si>
  <si>
    <t>NET OPERATING INCOME</t>
  </si>
  <si>
    <t>Balance</t>
  </si>
  <si>
    <t>Net Available @1.05 Income to Expense</t>
  </si>
  <si>
    <t>Debt Service</t>
  </si>
  <si>
    <t>/du</t>
  </si>
  <si>
    <t>Borrower's Legal</t>
  </si>
  <si>
    <t>Accounting</t>
  </si>
  <si>
    <t>Borrower's Engineer/Architect Fees</t>
  </si>
  <si>
    <t>Subtotal</t>
  </si>
  <si>
    <t>Negative Arbitrage</t>
  </si>
  <si>
    <t>HDC 2nd</t>
  </si>
  <si>
    <t>Bank Legal</t>
  </si>
  <si>
    <t>Survey</t>
  </si>
  <si>
    <t>Construction Interest</t>
  </si>
  <si>
    <t>Insurance</t>
  </si>
  <si>
    <t>Utilities</t>
  </si>
  <si>
    <t>Marketing</t>
  </si>
  <si>
    <t>Developer's Fee</t>
  </si>
  <si>
    <t>Total Development Cost:</t>
  </si>
  <si>
    <t>Studio</t>
  </si>
  <si>
    <t># of Rms/ DU</t>
  </si>
  <si>
    <t>per rm/du</t>
  </si>
  <si>
    <t>Rooms</t>
  </si>
  <si>
    <t>Cooking Gas</t>
  </si>
  <si>
    <t>% Outstanding</t>
  </si>
  <si>
    <t>per elevator</t>
  </si>
  <si>
    <t xml:space="preserve">Net Available for Debt Service @ </t>
  </si>
  <si>
    <t>Deferred Developer's Fee</t>
  </si>
  <si>
    <t>Expenses</t>
  </si>
  <si>
    <t>Contingency</t>
  </si>
  <si>
    <t>Title Insurance</t>
  </si>
  <si>
    <t xml:space="preserve">per unit </t>
  </si>
  <si>
    <t>Bank's Engineer</t>
  </si>
  <si>
    <t>Super's Unit</t>
  </si>
  <si>
    <t>Permanent Sources</t>
  </si>
  <si>
    <t>Income to Expense</t>
  </si>
  <si>
    <t>Construction Sources</t>
  </si>
  <si>
    <t>Soft Cost Contingency</t>
  </si>
  <si>
    <t>Security</t>
  </si>
  <si>
    <t>Commercial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</si>
  <si>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</si>
  <si>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</si>
  <si>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</si>
  <si>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</si>
  <si>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</si>
  <si>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</si>
  <si>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</si>
  <si>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</si>
  <si>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</si>
  <si>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</si>
  <si>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Total Income</t>
  </si>
  <si>
    <t>M&amp;O Expenses</t>
  </si>
  <si>
    <t>Building Reserve</t>
  </si>
  <si>
    <t>NOI</t>
  </si>
  <si>
    <t>Net Cash Flow</t>
  </si>
  <si>
    <t>Total Bond Amount</t>
  </si>
  <si>
    <t>Long Term Amount</t>
  </si>
  <si>
    <t>Short Term Amount</t>
  </si>
  <si>
    <t>Investment Spread</t>
  </si>
  <si>
    <t>porters</t>
  </si>
  <si>
    <t>/unit</t>
  </si>
  <si>
    <t>Community</t>
  </si>
  <si>
    <t>unit</t>
  </si>
  <si>
    <t>General Conditions</t>
  </si>
  <si>
    <t>Parking Income</t>
  </si>
  <si>
    <t>Parking - at grade</t>
  </si>
  <si>
    <t>Total Soft Costs</t>
  </si>
  <si>
    <t>of soft costs</t>
  </si>
  <si>
    <t>Parking</t>
  </si>
  <si>
    <t>Ancillary Income</t>
  </si>
  <si>
    <t>Net Cash Flow in 12 years</t>
  </si>
  <si>
    <t xml:space="preserve"> </t>
  </si>
  <si>
    <t>Year 11</t>
  </si>
  <si>
    <t>Year 12</t>
  </si>
  <si>
    <t>per DU</t>
  </si>
  <si>
    <t>% of total</t>
  </si>
  <si>
    <t>UNIT DISTRBUTION</t>
  </si>
  <si>
    <t># Rooms</t>
  </si>
  <si>
    <t>Commercial Income</t>
  </si>
  <si>
    <t>Total Commercial &amp; Ancillary  Income</t>
  </si>
  <si>
    <t>Residential Income</t>
  </si>
  <si>
    <t>Annual per unit</t>
  </si>
  <si>
    <t>TOTAL ANNUAL PROJECT INCOME</t>
  </si>
  <si>
    <t>DEVELOPMENT BUDGET</t>
  </si>
  <si>
    <t>SF DISTRBUTION</t>
  </si>
  <si>
    <t>NEGATIVE ARBITRAGE</t>
  </si>
  <si>
    <t>MAINTENANCE &amp; OPERATING EXPENSES</t>
  </si>
  <si>
    <t>F/T super(s)</t>
  </si>
  <si>
    <t>TOTAL ANNUAL PROJECT EXPENSES</t>
  </si>
  <si>
    <t>% of bond</t>
  </si>
  <si>
    <t>Bond Amount</t>
  </si>
  <si>
    <t>Months</t>
  </si>
  <si>
    <t>Years</t>
  </si>
  <si>
    <t>Construction term</t>
  </si>
  <si>
    <t xml:space="preserve">Rent-up &amp; conversion term </t>
  </si>
  <si>
    <t>Total term</t>
  </si>
  <si>
    <t>Variable Rate</t>
  </si>
  <si>
    <t>Amount</t>
  </si>
  <si>
    <t>Interest Rate</t>
  </si>
  <si>
    <t>Fixed Rate</t>
  </si>
  <si>
    <t>Term (years)</t>
  </si>
  <si>
    <t>Interest</t>
  </si>
  <si>
    <t>Total Fixed Rate Cons. Interest</t>
  </si>
  <si>
    <t xml:space="preserve"> HDC 1st</t>
  </si>
  <si>
    <t>Total Variable Rate Cons. Interest</t>
  </si>
  <si>
    <t>Interest Calculations</t>
  </si>
  <si>
    <t>Rate</t>
  </si>
  <si>
    <t>Construction Term (years)</t>
  </si>
  <si>
    <t>Investment Rate</t>
  </si>
  <si>
    <t>(for fixed-rate deals only)</t>
  </si>
  <si>
    <t xml:space="preserve">Less Residential Vacancies </t>
  </si>
  <si>
    <t xml:space="preserve">Commercial Income </t>
  </si>
  <si>
    <t>Community Space Income</t>
  </si>
  <si>
    <t>Less Parking Vacancies</t>
  </si>
  <si>
    <t>Less Ancillary/Laundry Vac</t>
  </si>
  <si>
    <t xml:space="preserve">Less Commercial Vac </t>
  </si>
  <si>
    <t>Net Comm &amp; Ancillary Income</t>
  </si>
  <si>
    <t>based on net available for debt service and land taxes</t>
  </si>
  <si>
    <t>Income</t>
  </si>
  <si>
    <t>Net Income</t>
  </si>
  <si>
    <t>Less Community Space Income</t>
  </si>
  <si>
    <t>Fixed Interest Rates</t>
  </si>
  <si>
    <t>Amt Amortized</t>
  </si>
  <si>
    <t>Balloon %</t>
  </si>
  <si>
    <t>Debt Coverage</t>
  </si>
  <si>
    <t>Yrs 1 - 30</t>
  </si>
  <si>
    <t>increases</t>
  </si>
  <si>
    <t>EFFECTIVE INCOMES</t>
  </si>
  <si>
    <t>EXPENSES</t>
  </si>
  <si>
    <t xml:space="preserve">Contractor Price </t>
  </si>
  <si>
    <t>Community Space</t>
  </si>
  <si>
    <t>Residential</t>
  </si>
  <si>
    <t>Housing/Development Consultant</t>
  </si>
  <si>
    <t xml:space="preserve">Appraisal </t>
  </si>
  <si>
    <t>Total Hard Cost</t>
  </si>
  <si>
    <t>Acquisition Cost</t>
  </si>
  <si>
    <t>Construction Cost</t>
  </si>
  <si>
    <t>Soft Cost</t>
  </si>
  <si>
    <t>per Unit</t>
  </si>
  <si>
    <t>Capitalized Operating Reserve</t>
  </si>
  <si>
    <t>Water/Sewer &amp; Real Estate Taxes</t>
  </si>
  <si>
    <t xml:space="preserve">Legal </t>
  </si>
  <si>
    <t>per project</t>
  </si>
  <si>
    <t>Assumed Subsidies</t>
  </si>
  <si>
    <t>Uses</t>
  </si>
  <si>
    <t>CONSTRUCTION INTEREST</t>
  </si>
  <si>
    <t>LETTER OF CREDIT AMOUNT</t>
  </si>
  <si>
    <t>Days Interest</t>
  </si>
  <si>
    <t>LC Amount</t>
  </si>
  <si>
    <t xml:space="preserve">Long Term </t>
  </si>
  <si>
    <t xml:space="preserve">Short Term </t>
  </si>
  <si>
    <t>MORTGAGE SIZING</t>
  </si>
  <si>
    <t>Variable Interest Rates</t>
  </si>
  <si>
    <t>Base Rate</t>
  </si>
  <si>
    <t>Underwriting Cushion</t>
  </si>
  <si>
    <t>LC Fees</t>
  </si>
  <si>
    <t>Trustee</t>
  </si>
  <si>
    <t>Remarketing</t>
  </si>
  <si>
    <t>Servicing</t>
  </si>
  <si>
    <t>Base Underwriting Rate</t>
  </si>
  <si>
    <t>Reserves and Contingency</t>
  </si>
  <si>
    <t>Total Cost</t>
  </si>
  <si>
    <t>Eligible Cost (Y/N)</t>
  </si>
  <si>
    <t>Eligible Amount</t>
  </si>
  <si>
    <t>N</t>
  </si>
  <si>
    <t>Y</t>
  </si>
  <si>
    <t>% TC Units</t>
  </si>
  <si>
    <t>% Non Residential Costs</t>
  </si>
  <si>
    <t>Aplicable Fraction</t>
  </si>
  <si>
    <t>Construction Bonds</t>
  </si>
  <si>
    <t>Annual Credit @</t>
  </si>
  <si>
    <t>Amount Raised per Credit @</t>
  </si>
  <si>
    <t>Amount Raised Total</t>
  </si>
  <si>
    <t>Eligible Basis with Boost</t>
  </si>
  <si>
    <t>Units:</t>
  </si>
  <si>
    <t>TAX CREDIT ANAYLSIS*</t>
  </si>
  <si>
    <t>*This is an estimate; for actual raise and calculation, defer to LIHTC Investor</t>
  </si>
  <si>
    <t xml:space="preserve"> Long Term</t>
  </si>
  <si>
    <t>Short Term</t>
  </si>
  <si>
    <t>Third Mortgage</t>
  </si>
  <si>
    <t>Fourth Mortgage</t>
  </si>
  <si>
    <t>3rd Loan</t>
  </si>
  <si>
    <t>4th Loan</t>
  </si>
  <si>
    <t>Social Service Reserve</t>
  </si>
  <si>
    <t>Accounting &amp; Cost Certification</t>
  </si>
  <si>
    <t>Additional Operating Reserve (if applicable)</t>
  </si>
  <si>
    <t>TAX EXEMPT</t>
  </si>
  <si>
    <t>Commercial Space</t>
  </si>
  <si>
    <t>Fourth Mortgage (Lender:                                )</t>
  </si>
  <si>
    <t>TRADE ITEM</t>
  </si>
  <si>
    <t>$ AMOUNT</t>
  </si>
  <si>
    <t>Demolition</t>
  </si>
  <si>
    <t>Environmental Remediation</t>
  </si>
  <si>
    <t>Landscaping / Site Work</t>
  </si>
  <si>
    <t>Concrete</t>
  </si>
  <si>
    <t>6a</t>
  </si>
  <si>
    <t>Masonry, pointing, waterproofing, steam cleaning</t>
  </si>
  <si>
    <t>6b</t>
  </si>
  <si>
    <t>Carpentry, rough</t>
  </si>
  <si>
    <t>Carpentry, finished</t>
  </si>
  <si>
    <t>Metals, structural steel</t>
  </si>
  <si>
    <t>Roofing</t>
  </si>
  <si>
    <t>Insulation</t>
  </si>
  <si>
    <t>Doors, frames, hardware</t>
  </si>
  <si>
    <t>Windows and glazing</t>
  </si>
  <si>
    <t>Entrance doors</t>
  </si>
  <si>
    <t>Drywall and plastering</t>
  </si>
  <si>
    <t>Ceramic tile</t>
  </si>
  <si>
    <t>Finish flooring</t>
  </si>
  <si>
    <t>17a</t>
  </si>
  <si>
    <t>17b</t>
  </si>
  <si>
    <t>Kitchen cabinets</t>
  </si>
  <si>
    <t>Applicances, medicine cabinet</t>
  </si>
  <si>
    <t>Heating and ventilation</t>
  </si>
  <si>
    <t>Plumbing</t>
  </si>
  <si>
    <t>Electrical</t>
  </si>
  <si>
    <t>Other:__________________</t>
  </si>
  <si>
    <t>Overhead</t>
  </si>
  <si>
    <t>Profit</t>
  </si>
  <si>
    <t>These calculations must match the architectural plans included in the proposal.</t>
  </si>
  <si>
    <t xml:space="preserve">TOTAL BUILT FLOOR AREA (Gross Square Feet): </t>
  </si>
  <si>
    <t>1. Residential Space</t>
  </si>
  <si>
    <t>2. Unfinished Basement</t>
  </si>
  <si>
    <t>3. Cellar</t>
  </si>
  <si>
    <t>4. Attics</t>
  </si>
  <si>
    <t>5. Mechanical / Utility Areas</t>
  </si>
  <si>
    <t>6. Garages</t>
  </si>
  <si>
    <t>7. Commercial Space</t>
  </si>
  <si>
    <t>8. Community Space</t>
  </si>
  <si>
    <t>9. Parking</t>
  </si>
  <si>
    <t>10. Other ___________________</t>
  </si>
  <si>
    <t>11. Subtotal Gross Square Feet</t>
  </si>
  <si>
    <t>Source:</t>
  </si>
  <si>
    <t>2nd Construction</t>
  </si>
  <si>
    <t>3rd Construction</t>
  </si>
  <si>
    <t>4th Construction</t>
  </si>
  <si>
    <t>1st - Short Term</t>
  </si>
  <si>
    <t>1st - Long Term</t>
  </si>
  <si>
    <t xml:space="preserve">SUBTOTAL </t>
  </si>
  <si>
    <t xml:space="preserve">GRAND TOTAL </t>
  </si>
  <si>
    <t>Servicing Fee</t>
  </si>
  <si>
    <t>Developer Costs</t>
  </si>
  <si>
    <t>Second Mortgage</t>
  </si>
  <si>
    <t>Family of Four</t>
  </si>
  <si>
    <t>2 BR FMR</t>
  </si>
  <si>
    <t>Electricity Allowance</t>
  </si>
  <si>
    <t>2 rooms</t>
  </si>
  <si>
    <t>studio</t>
  </si>
  <si>
    <t>3 rooms</t>
  </si>
  <si>
    <t>1 BR</t>
  </si>
  <si>
    <t>4 rooms</t>
  </si>
  <si>
    <t>2 BR</t>
  </si>
  <si>
    <t>5 rooms</t>
  </si>
  <si>
    <t>3 BR</t>
  </si>
  <si>
    <t>HH size</t>
  </si>
  <si>
    <t>HH factor</t>
  </si>
  <si>
    <t>max gross monthly rent</t>
  </si>
  <si>
    <t>rent less electricity</t>
  </si>
  <si>
    <t>max net monthly rent</t>
  </si>
  <si>
    <t>RESIDENTIAL INCOME</t>
  </si>
  <si>
    <t>Number of units</t>
  </si>
  <si>
    <t>Annual Rent</t>
  </si>
  <si>
    <t>HUD IL</t>
  </si>
  <si>
    <t>Unit size</t>
  </si>
  <si>
    <t>Total units</t>
  </si>
  <si>
    <t>Repairs/Replacement</t>
  </si>
  <si>
    <t>+___ bps cushion</t>
  </si>
  <si>
    <t xml:space="preserve">Fixed Rates </t>
  </si>
  <si>
    <t>SIFMA</t>
  </si>
  <si>
    <t xml:space="preserve">Carrying Costs </t>
  </si>
  <si>
    <t>(change link if assuming variable rate)</t>
  </si>
  <si>
    <t>Financing Fees (Please maintain links to original calculations and note any changes)</t>
  </si>
  <si>
    <t>HDC Fee (if applicable)</t>
  </si>
  <si>
    <t>HH income</t>
  </si>
  <si>
    <r>
      <t>Note:</t>
    </r>
    <r>
      <rPr>
        <sz val="12"/>
        <rFont val="Arial"/>
        <family val="2"/>
      </rPr>
      <t xml:space="preserve"> For market rate units, please hard code rents</t>
    </r>
  </si>
  <si>
    <t>Other (Specify:_________________)</t>
  </si>
  <si>
    <t>1 Bedroom</t>
  </si>
  <si>
    <t>2 Bedroom</t>
  </si>
  <si>
    <t>3 Bedroom</t>
  </si>
  <si>
    <t>Market Rate</t>
  </si>
  <si>
    <t>2nd Loan Constant</t>
  </si>
  <si>
    <t>3rd Loan Constant</t>
  </si>
  <si>
    <t>4th Loan Constant</t>
  </si>
  <si>
    <t>Rent Less Electricity = 1, Rent Less Electricity/Gas = 0</t>
  </si>
  <si>
    <t>Enter 1st Mortgage Amount from Cell H30 here</t>
  </si>
  <si>
    <t>of TDC less Dev Fee</t>
  </si>
  <si>
    <t>of HDC cons 1st</t>
  </si>
  <si>
    <t>Combined DSCR</t>
  </si>
  <si>
    <t>1st Mort DSCR</t>
  </si>
  <si>
    <t>1st Loan Reduction</t>
  </si>
  <si>
    <t>Number of TC Units</t>
  </si>
  <si>
    <t>Note: HH factor for studios &lt;80% HUD IL is 0.70</t>
  </si>
  <si>
    <t>Residential GSF</t>
  </si>
  <si>
    <t>Commercial GSF</t>
  </si>
  <si>
    <t>Community GSF</t>
  </si>
  <si>
    <t>Parking GSF</t>
  </si>
  <si>
    <t>Efficiency</t>
  </si>
  <si>
    <t>NSF</t>
  </si>
  <si>
    <t>Total Project NSF</t>
  </si>
  <si>
    <t>GSF</t>
  </si>
  <si>
    <t>Total Project GSF</t>
  </si>
  <si>
    <t>Rental Pro Forma</t>
  </si>
  <si>
    <t>Gas   Allowance</t>
  </si>
  <si>
    <t>Mortgage Recording Tax</t>
  </si>
  <si>
    <t>Property Tax Incentive Fees &amp; Consultant</t>
  </si>
  <si>
    <t>SEQRA Submissions</t>
  </si>
  <si>
    <t>COMMERCIAL AND ANCILLARY INCOME</t>
  </si>
  <si>
    <t>4 BR</t>
  </si>
  <si>
    <t>6 rooms</t>
  </si>
  <si>
    <t>HUD Grant</t>
  </si>
  <si>
    <t>Must equal total Contractor price in Development Budget</t>
  </si>
  <si>
    <t>Total Annual Residential Income upon occupancy</t>
  </si>
  <si>
    <t>4 Bedroom</t>
  </si>
  <si>
    <t>Expenses (Non PH units)</t>
  </si>
  <si>
    <t>Tax Credit Equity</t>
  </si>
  <si>
    <t>of Hard + Soft</t>
  </si>
  <si>
    <t>Borings / Geotechnical</t>
  </si>
  <si>
    <t>Environmental Phase I &amp; II Investig &amp; Reports</t>
  </si>
  <si>
    <t>of credit amt</t>
  </si>
  <si>
    <t>LIRP</t>
  </si>
  <si>
    <t>handyman</t>
  </si>
  <si>
    <t>Other Expenses(Specify: Security)</t>
  </si>
  <si>
    <t>Other Expenses(Specify:Asset Management)</t>
  </si>
  <si>
    <t>Article XI Tax Exemption</t>
  </si>
  <si>
    <t>None due to HDFC</t>
  </si>
  <si>
    <t>Funded by external source</t>
  </si>
  <si>
    <t>Other source (Specify: Reso A funds                       )</t>
  </si>
  <si>
    <t>N/A</t>
  </si>
  <si>
    <r>
      <rPr>
        <u/>
        <sz val="12"/>
        <color indexed="8"/>
        <rFont val="Arial"/>
        <family val="2"/>
      </rPr>
      <t>IF</t>
    </r>
    <r>
      <rPr>
        <sz val="12"/>
        <color indexed="8"/>
        <rFont val="Arial"/>
        <family val="2"/>
      </rPr>
      <t xml:space="preserve"> 420c </t>
    </r>
  </si>
  <si>
    <t>annual + fringe + taxes</t>
  </si>
  <si>
    <t>average per gross sf</t>
  </si>
  <si>
    <t>2012 HUD Area Median Income</t>
  </si>
  <si>
    <t xml:space="preserve">Residential Income </t>
  </si>
  <si>
    <t xml:space="preserve">Project Based Voucher Program (PBV) </t>
  </si>
  <si>
    <t>% of ERI</t>
  </si>
  <si>
    <t>under 60% AMI</t>
  </si>
  <si>
    <t>13 parking spaces</t>
  </si>
  <si>
    <t>Average Gross SF</t>
  </si>
  <si>
    <t>Gross Residential Square Feet</t>
  </si>
  <si>
    <t>Average Gross SF per DU</t>
  </si>
  <si>
    <t>`</t>
  </si>
  <si>
    <t>LIHTC/SLIHC Application Fee</t>
  </si>
  <si>
    <t>Other (Specify:LIHTC/SLIHC Credit Allocation Fee)</t>
  </si>
  <si>
    <t>Capitalized Replacement Reserve</t>
  </si>
  <si>
    <t>net cash flow after d/s</t>
  </si>
  <si>
    <t>included in the res. cost</t>
  </si>
  <si>
    <t>(gas)</t>
  </si>
  <si>
    <t>leftover for comm pgm</t>
  </si>
  <si>
    <t>Electricity</t>
  </si>
  <si>
    <t>Costs of Issuance</t>
  </si>
  <si>
    <t>GAP</t>
  </si>
  <si>
    <t>Other (Specify: Working Capital / Initial Operating Deficit)</t>
  </si>
  <si>
    <t>Other source (Specify: Deferred Capitalized/Operating Reserves )</t>
  </si>
  <si>
    <t>2014 HUD FAIR MARKET RENTS</t>
  </si>
  <si>
    <t>required reserve</t>
  </si>
  <si>
    <t>6 mos</t>
  </si>
  <si>
    <t>commitment fees</t>
  </si>
  <si>
    <t>of t.c. allocation</t>
  </si>
  <si>
    <t>CSF</t>
  </si>
  <si>
    <t>RES</t>
  </si>
  <si>
    <t>TD LOAN - PREDEVELOPMENT</t>
  </si>
  <si>
    <t>cash equity required for ALF loan</t>
  </si>
  <si>
    <t>Acquisition cost</t>
  </si>
  <si>
    <t>SF</t>
  </si>
  <si>
    <t>per SF</t>
  </si>
  <si>
    <t>UNITS</t>
  </si>
  <si>
    <t>per UNIT</t>
  </si>
  <si>
    <t>In-house counsel</t>
  </si>
  <si>
    <t>legal, title, interest</t>
  </si>
  <si>
    <t xml:space="preserve">Borings / Geotechnical </t>
  </si>
  <si>
    <t>of loan amt</t>
  </si>
  <si>
    <t xml:space="preserve">Financing Fees </t>
  </si>
  <si>
    <t>Origination Fee</t>
  </si>
  <si>
    <t>Fund Guarantee Fee</t>
  </si>
  <si>
    <t>Loan Interest</t>
  </si>
  <si>
    <t>(see below)</t>
  </si>
  <si>
    <t>Transfer Taxes</t>
  </si>
  <si>
    <t>of acquis price</t>
  </si>
  <si>
    <t>Total Acquisition Loan:</t>
  </si>
  <si>
    <t xml:space="preserve"> Jun- 2015</t>
  </si>
  <si>
    <t>ACQUISITION LOAN FUND</t>
  </si>
  <si>
    <t>equity requirement</t>
  </si>
  <si>
    <t>overhead</t>
  </si>
  <si>
    <t>2014 HUD Area Median Income</t>
  </si>
  <si>
    <t>of tc equity</t>
  </si>
  <si>
    <t>Permits and Special Inspections</t>
  </si>
  <si>
    <t>NYSERDA</t>
  </si>
  <si>
    <t>HDC standards NC -- Dec 2013</t>
  </si>
  <si>
    <t>Tax Credit Monitoring</t>
  </si>
  <si>
    <t xml:space="preserve">HPD will recognize Eligible Basis in amounts not exceeding $300,000 per residential unit for </t>
  </si>
  <si>
    <t>9% projects and $350,000 per residential unit for 4% projects</t>
  </si>
  <si>
    <t>syndicator</t>
  </si>
  <si>
    <t>Upfront L/C Fee</t>
  </si>
  <si>
    <t>of LOC amt</t>
  </si>
  <si>
    <t>Annual L/C Fee</t>
  </si>
  <si>
    <t xml:space="preserve">of LOC amt </t>
  </si>
  <si>
    <t>NY State Bond Issuance Charge</t>
  </si>
  <si>
    <t>Negative Arbitrage / Inclusionary Housing Plan Fees &amp; Reserves</t>
  </si>
  <si>
    <t>First Mortgage (Lender:  HDC Tax-Exempt Bonds  )</t>
  </si>
  <si>
    <t>def fee after NYSERDA</t>
  </si>
  <si>
    <t>unit distrib %</t>
  </si>
  <si>
    <t>% of total units by BR size</t>
  </si>
  <si>
    <t>equity per t.c. unit</t>
  </si>
  <si>
    <t>% of TDC</t>
  </si>
  <si>
    <t>Year 13</t>
  </si>
  <si>
    <t>Year 14</t>
  </si>
  <si>
    <t>Year 15</t>
  </si>
  <si>
    <t>Net Cash Flow in 15 years</t>
  </si>
  <si>
    <t>buildable SF</t>
  </si>
  <si>
    <t>Other source (Specify:       )</t>
  </si>
  <si>
    <t>Shelter Units</t>
  </si>
  <si>
    <t>Perm Units</t>
  </si>
  <si>
    <t>per perm unit</t>
  </si>
  <si>
    <t>per buildable sf</t>
  </si>
  <si>
    <t>permanent</t>
  </si>
  <si>
    <t>Second Mortgage (Lender: City capital subsidy- perm units )</t>
  </si>
  <si>
    <t>per diem</t>
  </si>
  <si>
    <t>higher l/c fees</t>
  </si>
  <si>
    <t>6 mo M&amp;O/debt service</t>
  </si>
  <si>
    <t>HPD 4%</t>
  </si>
  <si>
    <t>Shelter</t>
  </si>
  <si>
    <t>HOMELESS REFERRALS</t>
  </si>
  <si>
    <t>incl. marketing band</t>
  </si>
  <si>
    <t>total acqis</t>
  </si>
  <si>
    <t>60% of total cost</t>
  </si>
  <si>
    <t>per unit for homeless referrals</t>
  </si>
  <si>
    <t>per unit for 60%AMI units</t>
  </si>
  <si>
    <t>higher than HDC standard $150</t>
  </si>
  <si>
    <t>Homeless Development Model E- permanent</t>
  </si>
  <si>
    <t>shelter res</t>
  </si>
  <si>
    <t>mtg space</t>
  </si>
  <si>
    <t xml:space="preserve">IRC Section 42(d)(4)(C)(ii) was amended and expands the size of the community facility </t>
  </si>
  <si>
    <t xml:space="preserve">with respect to the low income housing credit that may be claimed. The size of the </t>
  </si>
  <si>
    <t xml:space="preserve">community facility may not exceed the sum of : </t>
  </si>
  <si>
    <t xml:space="preserve">a. 25% of so much of the eligible basis of the qualified low income housing credit </t>
  </si>
  <si>
    <t xml:space="preserve">project of which it is a part as does not exceed $15,000,000; and </t>
  </si>
  <si>
    <t xml:space="preserve">b. 10% of any excess over $15,000,000 of the eligible basis, for all projects placed </t>
  </si>
  <si>
    <t xml:space="preserve">in service after July 30, 2008. </t>
  </si>
  <si>
    <t>Public Assistance Shelter Allowance</t>
  </si>
  <si>
    <t>hard costs</t>
  </si>
  <si>
    <t>perm res</t>
  </si>
  <si>
    <t>shelter CSF basis calcs</t>
  </si>
  <si>
    <t>DHS per diem: rent</t>
  </si>
  <si>
    <t>Third Mortgage (Lender:  City capital subsidy- perm units)</t>
  </si>
  <si>
    <t>Second Mortgage (Lender: **bridge loan during constr @ 4.8% )</t>
  </si>
  <si>
    <t>Homeless Development Model E- shelter</t>
  </si>
  <si>
    <t>Construction Loan / Permanent Loan</t>
  </si>
  <si>
    <t>INCLUDED IN PERM BUDGET</t>
  </si>
  <si>
    <t>DHS per diem: debt service</t>
  </si>
  <si>
    <t>Residential GSF- shelter</t>
  </si>
  <si>
    <t>gross SF per shelter unit</t>
  </si>
  <si>
    <t>40% of total cost</t>
  </si>
  <si>
    <t>per sf acquis</t>
  </si>
  <si>
    <t>architect</t>
  </si>
  <si>
    <t>green consultant</t>
  </si>
  <si>
    <t>SEQRA Submissions // EAS for ULURP</t>
  </si>
  <si>
    <t>Commitment/Origination Fee - Construction Loan</t>
  </si>
  <si>
    <t>of Loan amt</t>
  </si>
  <si>
    <t>Commitment/Origination Fee - Permanent Loan</t>
  </si>
  <si>
    <t>Interest Rate Cap (estimate)</t>
  </si>
  <si>
    <t>$1,300 per shelter unit</t>
  </si>
  <si>
    <t>First Mortgage (Lender:  Construction Loan  )</t>
  </si>
  <si>
    <t>First Mortgage (Lender:  Permanent Loan )</t>
  </si>
  <si>
    <t xml:space="preserve">Co-located DHS Tier II Family Shelter and HPD-HDC Low Income Rental Housing </t>
  </si>
  <si>
    <t>Also see program term sheet</t>
  </si>
  <si>
    <t>assumes constr/perm loan</t>
  </si>
  <si>
    <t>Shelter Development Budget - 4 worksheets</t>
  </si>
  <si>
    <t>100 unit shelter</t>
  </si>
  <si>
    <t>SUMMARY</t>
  </si>
  <si>
    <t>Model Project</t>
  </si>
  <si>
    <t>Development Budget - separately financed</t>
  </si>
  <si>
    <t>units shelter</t>
  </si>
  <si>
    <t>units perm hsg</t>
  </si>
  <si>
    <t>hard coded- update with cell D73 x boost</t>
  </si>
  <si>
    <t>incl 40% for formerly homeless</t>
  </si>
  <si>
    <t>Shelter per diem</t>
  </si>
  <si>
    <t>debt service</t>
  </si>
  <si>
    <t>rent</t>
  </si>
  <si>
    <t>service/M&amp;O</t>
  </si>
  <si>
    <t>*need separate operating budget</t>
  </si>
  <si>
    <t>TOTAL</t>
  </si>
  <si>
    <t>total buildable SF</t>
  </si>
  <si>
    <t>SF shelter</t>
  </si>
  <si>
    <t>SF perm</t>
  </si>
  <si>
    <t>monthly d/s</t>
  </si>
  <si>
    <t>total hard cost</t>
  </si>
  <si>
    <t>amount in perm constr budget</t>
  </si>
  <si>
    <t>shelter SF</t>
  </si>
  <si>
    <t>Second Mortgage (Lender: )</t>
  </si>
  <si>
    <t>Third Mortgage (Lender:  )</t>
  </si>
  <si>
    <t>Fourth Mortgage (Lender:  )</t>
  </si>
  <si>
    <t>Other source (Specify:  )</t>
  </si>
  <si>
    <t>hard code TDC cell D72</t>
  </si>
  <si>
    <t>SF circulation</t>
  </si>
  <si>
    <t>Unit Distribution</t>
  </si>
  <si>
    <t>service space</t>
  </si>
  <si>
    <t xml:space="preserve">Perm Hsg Development Budget </t>
  </si>
  <si>
    <t>assumes HDC bond deal, 4% credits; HPD ELLA program</t>
  </si>
  <si>
    <t>4% LIHTC, HPD/HDC ELLA, DHS</t>
  </si>
  <si>
    <t>of constr loans</t>
  </si>
  <si>
    <t>of loan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</si>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</sst>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mm/dd/yy_)"/>
    <numFmt numFmtId="166" formatCode="dd\-mmm\-yy_)"/>
    <numFmt numFmtId="167" formatCode="0.000000%"/>
    <numFmt numFmtId="168" formatCode="0.0%"/>
    <numFmt numFmtId="169" formatCode="_(&quot;$&quot;* #,##0_);_(&quot;$&quot;* \(#,##0\);_(&quot;$&quot;* &quot;-&quot;??_);_(@_)"/>
    <numFmt numFmtId="170" formatCode="&quot;$&quot;#,##0"/>
    <numFmt numFmtId="171" formatCode="0.0"/>
    <numFmt numFmtId="172" formatCode="0.000%"/>
    <numFmt numFmtId="173" formatCode="_(* #,##0_);_(* \(#,##0\);_(* &quot;-&quot;??_);_(@_)"/>
    <numFmt numFmtId="174" formatCode="#,##0.000_);\(#,##0.000\)"/>
    <numFmt numFmtId="175" formatCode="&quot;$&quot;#,##0.00"/>
    <numFmt numFmtId="176" formatCode="_(* #,##0.0_);_(* \(#,##0.0\);_(* &quot;-&quot;?_);_(@_)"/>
    <numFmt numFmtId="177" formatCode="_(&quot;$&quot;* #,##0.000000000_);_(&quot;$&quot;* \(#,##0.000000000\);_(&quot;$&quot;* &quot;-&quot;??_);_(@_)"/>
  </numFmts>
  <fonts count="104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8"/>
      <color indexed="8"/>
      <name val="Arial"/>
      <family val="2"/>
    </font>
    <font>
      <b/>
      <u/>
      <sz val="12"/>
      <color indexed="8"/>
      <name val="Arial"/>
      <family val="2"/>
    </font>
    <font>
      <b/>
      <u/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color indexed="8"/>
      <name val="SWISS"/>
      <family val="2"/>
    </font>
    <font>
      <sz val="12"/>
      <color indexed="8"/>
      <name val="SWISS"/>
      <family val="2"/>
    </font>
    <font>
      <sz val="10"/>
      <color indexed="8"/>
      <name val="SWISS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indexed="8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u/>
      <sz val="12"/>
      <name val="Arial"/>
      <family val="2"/>
    </font>
    <font>
      <i/>
      <sz val="12"/>
      <color indexed="8"/>
      <name val="Arial"/>
      <family val="2"/>
    </font>
    <font>
      <sz val="8"/>
      <name val="Arial"/>
      <family val="2"/>
    </font>
    <font>
      <b/>
      <i/>
      <u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  <font>
      <u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i/>
      <sz val="10"/>
      <name val="Arial"/>
      <family val="2"/>
    </font>
    <font>
      <u val="singleAccounting"/>
      <sz val="12"/>
      <name val="Arial"/>
      <family val="2"/>
    </font>
    <font>
      <b/>
      <sz val="12"/>
      <color indexed="36"/>
      <name val="Arial"/>
      <family val="2"/>
    </font>
    <font>
      <sz val="12"/>
      <color indexed="36"/>
      <name val="Arial"/>
      <family val="2"/>
    </font>
    <font>
      <sz val="12"/>
      <color indexed="10"/>
      <name val="Arial"/>
      <family val="2"/>
    </font>
    <font>
      <sz val="12"/>
      <color indexed="23"/>
      <name val="Arial"/>
      <family val="2"/>
    </font>
    <font>
      <sz val="12"/>
      <color indexed="9"/>
      <name val="Arial"/>
      <family val="2"/>
    </font>
    <font>
      <b/>
      <sz val="12"/>
      <color indexed="3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name val="Calibri"/>
      <family val="2"/>
    </font>
    <font>
      <b/>
      <sz val="12"/>
      <color rgb="FF0070C0"/>
      <name val="Arial"/>
      <family val="2"/>
    </font>
    <font>
      <b/>
      <sz val="10"/>
      <color rgb="FFFF000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rgb="FFFF0000"/>
      <name val="Arial"/>
      <family val="2"/>
    </font>
    <font>
      <i/>
      <sz val="11"/>
      <name val="Arial"/>
      <family val="2"/>
    </font>
    <font>
      <b/>
      <sz val="12"/>
      <color theme="0"/>
      <name val="Arial"/>
      <family val="2"/>
    </font>
    <font>
      <b/>
      <i/>
      <u/>
      <sz val="12"/>
      <name val="Arial"/>
      <family val="2"/>
    </font>
    <font>
      <sz val="10"/>
      <color rgb="FFFF0000"/>
      <name val="Arial"/>
      <family val="2"/>
    </font>
    <font>
      <sz val="12"/>
      <color theme="0" tint="-0.249977111117893"/>
      <name val="Arial"/>
      <family val="2"/>
    </font>
    <font>
      <sz val="11"/>
      <color rgb="FFFF0000"/>
      <name val="Arial"/>
      <family val="2"/>
    </font>
    <font>
      <sz val="12"/>
      <color theme="0" tint="-0.14999847407452621"/>
      <name val="Arial"/>
      <family val="2"/>
    </font>
    <font>
      <sz val="12"/>
      <color theme="7" tint="-0.249977111117893"/>
      <name val="Arial"/>
      <family val="2"/>
    </font>
    <font>
      <u val="singleAccounting"/>
      <sz val="12"/>
      <color indexed="8"/>
      <name val="Arial"/>
      <family val="2"/>
    </font>
    <font>
      <sz val="8"/>
      <color theme="0"/>
      <name val="Arial"/>
      <family val="2"/>
    </font>
    <font>
      <b/>
      <sz val="11"/>
      <color rgb="FFFF0000"/>
      <name val="Arial"/>
      <family val="2"/>
    </font>
    <font>
      <sz val="12"/>
      <color theme="9" tint="-0.249977111117893"/>
      <name val="Arial"/>
      <family val="2"/>
    </font>
    <font>
      <i/>
      <sz val="12"/>
      <color rgb="FFFF0000"/>
      <name val="Arial"/>
      <family val="2"/>
    </font>
    <font>
      <b/>
      <i/>
      <sz val="12"/>
      <color rgb="FFFF0000"/>
      <name val="Arial"/>
      <family val="2"/>
    </font>
    <font>
      <sz val="12"/>
      <color theme="0" tint="-0.499984740745262"/>
      <name val="Arial"/>
      <family val="2"/>
    </font>
    <font>
      <i/>
      <sz val="12"/>
      <name val="SWISS"/>
      <family val="2"/>
    </font>
    <font>
      <sz val="12"/>
      <color rgb="FF0070C0"/>
      <name val="Arial"/>
      <family val="2"/>
    </font>
    <font>
      <sz val="12"/>
      <color theme="0" tint="-0.34998626667073579"/>
      <name val="Arial"/>
      <family val="2"/>
    </font>
    <font>
      <u val="singleAccounting"/>
      <sz val="12"/>
      <color rgb="FFFF0000"/>
      <name val="Arial"/>
      <family val="2"/>
    </font>
    <font>
      <b/>
      <sz val="12"/>
      <color theme="0" tint="-0.34998626667073579"/>
      <name val="Arial"/>
      <family val="2"/>
    </font>
    <font>
      <sz val="10"/>
      <name val="SWISS"/>
      <family val="2"/>
    </font>
    <font>
      <sz val="9"/>
      <name val="Arial"/>
      <family val="2"/>
    </font>
    <font>
      <sz val="9"/>
      <color theme="1" tint="0.499984740745262"/>
      <name val="Arial"/>
      <family val="2"/>
    </font>
    <font>
      <b/>
      <sz val="14"/>
      <color indexed="8"/>
      <name val="SWISS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i/>
      <sz val="12"/>
      <color theme="0" tint="-0.14999847407452621"/>
      <name val="Arial"/>
      <family val="2"/>
    </font>
    <font>
      <sz val="11"/>
      <color indexed="8"/>
      <name val="Arial"/>
      <family val="2"/>
    </font>
    <font>
      <i/>
      <sz val="12"/>
      <color indexed="23"/>
      <name val="Arial"/>
      <family val="2"/>
    </font>
    <font>
      <b/>
      <sz val="18"/>
      <name val="Arial"/>
      <family val="2"/>
    </font>
    <font>
      <b/>
      <i/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62">
    <xf numFmtId="0" fontId="0" fillId="0" borderId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4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6" borderId="0" applyNumberFormat="0" applyBorder="0" applyAlignment="0" applyProtection="0"/>
    <xf numFmtId="0" fontId="41" fillId="3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2" fillId="6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8" borderId="0" applyNumberFormat="0" applyBorder="0" applyAlignment="0" applyProtection="0"/>
    <xf numFmtId="0" fontId="42" fillId="6" borderId="0" applyNumberFormat="0" applyBorder="0" applyAlignment="0" applyProtection="0"/>
    <xf numFmtId="0" fontId="42" fillId="3" borderId="0" applyNumberFormat="0" applyBorder="0" applyAlignment="0" applyProtection="0"/>
    <xf numFmtId="0" fontId="42" fillId="11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1" applyNumberFormat="0" applyAlignment="0" applyProtection="0"/>
    <xf numFmtId="0" fontId="45" fillId="17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6" borderId="0" applyNumberFormat="0" applyBorder="0" applyAlignment="0" applyProtection="0"/>
    <xf numFmtId="0" fontId="48" fillId="0" borderId="3" applyNumberFormat="0" applyFill="0" applyAlignment="0" applyProtection="0"/>
    <xf numFmtId="0" fontId="49" fillId="0" borderId="4" applyNumberFormat="0" applyFill="0" applyAlignment="0" applyProtection="0"/>
    <xf numFmtId="0" fontId="50" fillId="0" borderId="5" applyNumberFormat="0" applyFill="0" applyAlignment="0" applyProtection="0"/>
    <xf numFmtId="0" fontId="50" fillId="0" borderId="0" applyNumberFormat="0" applyFill="0" applyBorder="0" applyAlignment="0" applyProtection="0"/>
    <xf numFmtId="0" fontId="51" fillId="7" borderId="1" applyNumberFormat="0" applyAlignment="0" applyProtection="0"/>
    <xf numFmtId="0" fontId="52" fillId="0" borderId="6" applyNumberFormat="0" applyFill="0" applyAlignment="0" applyProtection="0"/>
    <xf numFmtId="0" fontId="53" fillId="7" borderId="0" applyNumberFormat="0" applyBorder="0" applyAlignment="0" applyProtection="0"/>
    <xf numFmtId="0" fontId="3" fillId="0" borderId="0"/>
    <xf numFmtId="0" fontId="3" fillId="0" borderId="0"/>
    <xf numFmtId="0" fontId="3" fillId="4" borderId="7" applyNumberFormat="0" applyFont="0" applyAlignment="0" applyProtection="0"/>
    <xf numFmtId="0" fontId="54" fillId="16" borderId="8" applyNumberFormat="0" applyAlignment="0" applyProtection="0"/>
    <xf numFmtId="9" fontId="4" fillId="0" borderId="0" applyFont="0" applyFill="0" applyBorder="0" applyAlignment="0" applyProtection="0"/>
    <xf numFmtId="0" fontId="21" fillId="0" borderId="0" applyFont="0" applyAlignment="0" applyProtection="0">
      <alignment wrapText="1"/>
    </xf>
    <xf numFmtId="0" fontId="21" fillId="0" borderId="0" applyFont="0" applyAlignment="0" applyProtection="0">
      <alignment wrapText="1"/>
    </xf>
    <xf numFmtId="0" fontId="55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52" fillId="0" borderId="0" applyNumberFormat="0" applyFill="0" applyBorder="0" applyAlignment="0" applyProtection="0"/>
    <xf numFmtId="0" fontId="2" fillId="0" borderId="0"/>
    <xf numFmtId="0" fontId="17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7" fillId="0" borderId="0"/>
    <xf numFmtId="0" fontId="3" fillId="0" borderId="0" applyFont="0" applyAlignment="0" applyProtection="0">
      <alignment wrapText="1"/>
    </xf>
    <xf numFmtId="0" fontId="3" fillId="0" borderId="0" applyFont="0" applyAlignment="0" applyProtection="0">
      <alignment wrapText="1"/>
    </xf>
  </cellStyleXfs>
  <cellXfs count="1372">
    <xf numFmtId="0" fontId="0" fillId="0" borderId="0" xfId="0"/>
    <xf numFmtId="0" fontId="5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right"/>
    </xf>
    <xf numFmtId="37" fontId="6" fillId="0" borderId="0" xfId="0" applyNumberFormat="1" applyFont="1" applyProtection="1"/>
    <xf numFmtId="5" fontId="6" fillId="0" borderId="0" xfId="0" applyNumberFormat="1" applyFont="1" applyProtection="1"/>
    <xf numFmtId="37" fontId="6" fillId="0" borderId="0" xfId="0" applyNumberFormat="1" applyFont="1" applyAlignment="1" applyProtection="1">
      <alignment horizontal="right"/>
    </xf>
    <xf numFmtId="5" fontId="5" fillId="0" borderId="0" xfId="0" applyNumberFormat="1" applyFont="1" applyProtection="1"/>
    <xf numFmtId="0" fontId="9" fillId="0" borderId="0" xfId="0" applyFont="1" applyAlignment="1" applyProtection="1">
      <alignment horizontal="centerContinuous"/>
    </xf>
    <xf numFmtId="10" fontId="6" fillId="0" borderId="0" xfId="0" applyNumberFormat="1" applyFont="1" applyProtection="1"/>
    <xf numFmtId="5" fontId="6" fillId="0" borderId="0" xfId="0" applyNumberFormat="1" applyFont="1" applyAlignment="1" applyProtection="1">
      <alignment horizontal="right"/>
    </xf>
    <xf numFmtId="0" fontId="12" fillId="0" borderId="0" xfId="0" applyFont="1" applyProtection="1">
      <protection locked="0"/>
    </xf>
    <xf numFmtId="165" fontId="11" fillId="0" borderId="0" xfId="0" applyNumberFormat="1" applyFont="1" applyProtection="1"/>
    <xf numFmtId="5" fontId="10" fillId="0" borderId="10" xfId="0" applyNumberFormat="1" applyFont="1" applyBorder="1" applyProtection="1"/>
    <xf numFmtId="166" fontId="6" fillId="0" borderId="0" xfId="0" applyNumberFormat="1" applyFont="1" applyProtection="1"/>
    <xf numFmtId="37" fontId="5" fillId="0" borderId="0" xfId="0" applyNumberFormat="1" applyFont="1" applyProtection="1"/>
    <xf numFmtId="37" fontId="10" fillId="0" borderId="0" xfId="0" applyNumberFormat="1" applyFont="1" applyProtection="1"/>
    <xf numFmtId="0" fontId="10" fillId="0" borderId="0" xfId="0" applyFont="1" applyProtection="1"/>
    <xf numFmtId="164" fontId="10" fillId="0" borderId="0" xfId="0" applyNumberFormat="1" applyFont="1" applyProtection="1"/>
    <xf numFmtId="39" fontId="10" fillId="0" borderId="0" xfId="0" applyNumberFormat="1" applyFont="1" applyProtection="1"/>
    <xf numFmtId="5" fontId="10" fillId="0" borderId="0" xfId="0" applyNumberFormat="1" applyFont="1" applyProtection="1"/>
    <xf numFmtId="10" fontId="10" fillId="0" borderId="0" xfId="0" applyNumberFormat="1" applyFont="1" applyProtection="1"/>
    <xf numFmtId="0" fontId="15" fillId="0" borderId="0" xfId="0" applyFont="1" applyProtection="1"/>
    <xf numFmtId="0" fontId="9" fillId="0" borderId="0" xfId="0" applyFont="1" applyProtection="1"/>
    <xf numFmtId="0" fontId="5" fillId="0" borderId="0" xfId="0" applyFont="1" applyAlignment="1" applyProtection="1">
      <alignment horizontal="left"/>
    </xf>
    <xf numFmtId="0" fontId="11" fillId="0" borderId="11" xfId="0" applyFont="1" applyBorder="1" applyProtection="1"/>
    <xf numFmtId="168" fontId="11" fillId="0" borderId="12" xfId="0" applyNumberFormat="1" applyFont="1" applyBorder="1" applyProtection="1"/>
    <xf numFmtId="0" fontId="10" fillId="0" borderId="13" xfId="0" applyFont="1" applyBorder="1" applyProtection="1"/>
    <xf numFmtId="0" fontId="6" fillId="0" borderId="0" xfId="0" applyFont="1" applyBorder="1" applyProtection="1"/>
    <xf numFmtId="5" fontId="6" fillId="0" borderId="0" xfId="0" applyNumberFormat="1" applyFont="1" applyBorder="1" applyProtection="1"/>
    <xf numFmtId="0" fontId="16" fillId="0" borderId="0" xfId="0" applyFont="1"/>
    <xf numFmtId="0" fontId="16" fillId="0" borderId="0" xfId="0" applyFont="1" applyBorder="1"/>
    <xf numFmtId="5" fontId="0" fillId="0" borderId="0" xfId="0" applyNumberFormat="1"/>
    <xf numFmtId="44" fontId="16" fillId="0" borderId="0" xfId="0" applyNumberFormat="1" applyFont="1"/>
    <xf numFmtId="7" fontId="0" fillId="0" borderId="0" xfId="0" applyNumberFormat="1"/>
    <xf numFmtId="0" fontId="10" fillId="0" borderId="12" xfId="0" applyFont="1" applyBorder="1" applyProtection="1"/>
    <xf numFmtId="0" fontId="10" fillId="0" borderId="10" xfId="0" applyFont="1" applyBorder="1" applyProtection="1"/>
    <xf numFmtId="0" fontId="11" fillId="0" borderId="12" xfId="0" applyFont="1" applyBorder="1" applyProtection="1"/>
    <xf numFmtId="0" fontId="11" fillId="0" borderId="10" xfId="0" applyFont="1" applyBorder="1" applyProtection="1"/>
    <xf numFmtId="10" fontId="11" fillId="0" borderId="10" xfId="0" applyNumberFormat="1" applyFont="1" applyBorder="1" applyProtection="1"/>
    <xf numFmtId="5" fontId="19" fillId="0" borderId="12" xfId="0" applyNumberFormat="1" applyFont="1" applyBorder="1" applyProtection="1"/>
    <xf numFmtId="5" fontId="11" fillId="0" borderId="12" xfId="0" applyNumberFormat="1" applyFont="1" applyBorder="1" applyProtection="1"/>
    <xf numFmtId="44" fontId="16" fillId="0" borderId="0" xfId="29" applyFont="1"/>
    <xf numFmtId="0" fontId="20" fillId="0" borderId="0" xfId="0" applyFont="1"/>
    <xf numFmtId="5" fontId="20" fillId="0" borderId="0" xfId="0" applyNumberFormat="1" applyFont="1"/>
    <xf numFmtId="0" fontId="21" fillId="0" borderId="0" xfId="0" applyFont="1"/>
    <xf numFmtId="0" fontId="22" fillId="0" borderId="0" xfId="0" applyFont="1" applyAlignment="1" applyProtection="1">
      <alignment horizontal="centerContinuous"/>
    </xf>
    <xf numFmtId="170" fontId="22" fillId="0" borderId="0" xfId="0" applyNumberFormat="1" applyFont="1" applyAlignment="1" applyProtection="1">
      <alignment horizontal="centerContinuous"/>
    </xf>
    <xf numFmtId="170" fontId="10" fillId="0" borderId="0" xfId="0" applyNumberFormat="1" applyFont="1" applyAlignment="1" applyProtection="1">
      <alignment horizontal="centerContinuous"/>
    </xf>
    <xf numFmtId="0" fontId="10" fillId="0" borderId="0" xfId="0" applyFont="1" applyAlignment="1" applyProtection="1">
      <alignment horizontal="centerContinuous"/>
    </xf>
    <xf numFmtId="10" fontId="11" fillId="0" borderId="0" xfId="0" applyNumberFormat="1" applyFont="1" applyProtection="1"/>
    <xf numFmtId="5" fontId="12" fillId="0" borderId="0" xfId="0" applyNumberFormat="1" applyFont="1" applyProtection="1">
      <protection locked="0"/>
    </xf>
    <xf numFmtId="10" fontId="12" fillId="0" borderId="0" xfId="0" applyNumberFormat="1" applyFont="1" applyProtection="1">
      <protection locked="0"/>
    </xf>
    <xf numFmtId="9" fontId="12" fillId="0" borderId="0" xfId="0" applyNumberFormat="1" applyFont="1" applyProtection="1">
      <protection locked="0"/>
    </xf>
    <xf numFmtId="7" fontId="12" fillId="0" borderId="0" xfId="0" applyNumberFormat="1" applyFont="1" applyProtection="1">
      <protection locked="0"/>
    </xf>
    <xf numFmtId="37" fontId="12" fillId="0" borderId="0" xfId="0" applyNumberFormat="1" applyFont="1" applyProtection="1">
      <protection locked="0"/>
    </xf>
    <xf numFmtId="0" fontId="20" fillId="0" borderId="0" xfId="0" applyFont="1" applyAlignment="1"/>
    <xf numFmtId="10" fontId="11" fillId="0" borderId="0" xfId="0" applyNumberFormat="1" applyFont="1" applyAlignment="1" applyProtection="1">
      <alignment horizontal="centerContinuous"/>
    </xf>
    <xf numFmtId="10" fontId="21" fillId="0" borderId="0" xfId="0" applyNumberFormat="1" applyFont="1"/>
    <xf numFmtId="0" fontId="20" fillId="0" borderId="0" xfId="0" applyFont="1" applyAlignment="1" applyProtection="1"/>
    <xf numFmtId="0" fontId="21" fillId="0" borderId="0" xfId="0" applyFont="1" applyAlignment="1" applyProtection="1">
      <protection locked="0"/>
    </xf>
    <xf numFmtId="5" fontId="21" fillId="0" borderId="0" xfId="0" applyNumberFormat="1" applyFont="1" applyAlignment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/>
    <xf numFmtId="0" fontId="10" fillId="0" borderId="14" xfId="0" applyFont="1" applyBorder="1" applyProtection="1"/>
    <xf numFmtId="0" fontId="10" fillId="0" borderId="15" xfId="0" applyFont="1" applyBorder="1" applyProtection="1"/>
    <xf numFmtId="0" fontId="10" fillId="0" borderId="0" xfId="0" applyFont="1" applyAlignment="1" applyProtection="1">
      <alignment horizontal="right"/>
    </xf>
    <xf numFmtId="7" fontId="20" fillId="0" borderId="0" xfId="0" applyNumberFormat="1" applyFont="1"/>
    <xf numFmtId="5" fontId="5" fillId="0" borderId="0" xfId="0" applyNumberFormat="1" applyFont="1" applyBorder="1" applyProtection="1"/>
    <xf numFmtId="0" fontId="5" fillId="0" borderId="0" xfId="0" applyFont="1" applyBorder="1" applyProtection="1"/>
    <xf numFmtId="0" fontId="20" fillId="0" borderId="16" xfId="0" applyFont="1" applyBorder="1"/>
    <xf numFmtId="9" fontId="20" fillId="0" borderId="0" xfId="0" applyNumberFormat="1" applyFont="1"/>
    <xf numFmtId="10" fontId="20" fillId="0" borderId="0" xfId="0" applyNumberFormat="1" applyFont="1"/>
    <xf numFmtId="37" fontId="20" fillId="0" borderId="0" xfId="0" applyNumberFormat="1" applyFont="1"/>
    <xf numFmtId="170" fontId="10" fillId="0" borderId="0" xfId="0" applyNumberFormat="1" applyFont="1" applyAlignment="1" applyProtection="1">
      <alignment horizontal="center"/>
    </xf>
    <xf numFmtId="0" fontId="18" fillId="0" borderId="12" xfId="0" applyFont="1" applyBorder="1" applyProtection="1"/>
    <xf numFmtId="10" fontId="10" fillId="0" borderId="12" xfId="0" applyNumberFormat="1" applyFont="1" applyBorder="1" applyProtection="1"/>
    <xf numFmtId="10" fontId="10" fillId="0" borderId="10" xfId="0" applyNumberFormat="1" applyFont="1" applyBorder="1" applyProtection="1"/>
    <xf numFmtId="170" fontId="20" fillId="0" borderId="0" xfId="0" applyNumberFormat="1" applyFont="1"/>
    <xf numFmtId="39" fontId="10" fillId="0" borderId="0" xfId="0" applyNumberFormat="1" applyFont="1" applyAlignment="1" applyProtection="1">
      <alignment horizontal="center"/>
    </xf>
    <xf numFmtId="10" fontId="20" fillId="0" borderId="12" xfId="0" applyNumberFormat="1" applyFont="1" applyBorder="1"/>
    <xf numFmtId="10" fontId="10" fillId="0" borderId="0" xfId="43" applyNumberFormat="1" applyFont="1" applyProtection="1"/>
    <xf numFmtId="3" fontId="16" fillId="0" borderId="0" xfId="0" applyNumberFormat="1" applyFont="1"/>
    <xf numFmtId="5" fontId="10" fillId="0" borderId="0" xfId="0" applyNumberFormat="1" applyFont="1" applyFill="1" applyBorder="1" applyProtection="1"/>
    <xf numFmtId="0" fontId="20" fillId="0" borderId="0" xfId="0" applyFont="1" applyBorder="1"/>
    <xf numFmtId="5" fontId="20" fillId="0" borderId="0" xfId="0" applyNumberFormat="1" applyFont="1" applyBorder="1" applyProtection="1"/>
    <xf numFmtId="5" fontId="20" fillId="0" borderId="0" xfId="0" applyNumberFormat="1" applyFont="1" applyBorder="1"/>
    <xf numFmtId="10" fontId="20" fillId="0" borderId="0" xfId="0" applyNumberFormat="1" applyFont="1" applyBorder="1" applyProtection="1"/>
    <xf numFmtId="10" fontId="24" fillId="0" borderId="0" xfId="0" applyNumberFormat="1" applyFont="1" applyBorder="1" applyProtection="1"/>
    <xf numFmtId="0" fontId="20" fillId="0" borderId="0" xfId="0" applyFont="1" applyBorder="1" applyAlignment="1">
      <alignment horizontal="right"/>
    </xf>
    <xf numFmtId="9" fontId="20" fillId="0" borderId="0" xfId="43" applyFont="1" applyBorder="1"/>
    <xf numFmtId="10" fontId="20" fillId="0" borderId="0" xfId="43" applyNumberFormat="1" applyFont="1" applyBorder="1"/>
    <xf numFmtId="10" fontId="20" fillId="0" borderId="0" xfId="0" applyNumberFormat="1" applyFont="1" applyBorder="1"/>
    <xf numFmtId="10" fontId="20" fillId="0" borderId="0" xfId="43" applyNumberFormat="1" applyFont="1" applyBorder="1" applyProtection="1"/>
    <xf numFmtId="44" fontId="20" fillId="0" borderId="0" xfId="29" applyFont="1" applyBorder="1"/>
    <xf numFmtId="168" fontId="20" fillId="0" borderId="0" xfId="43" applyNumberFormat="1" applyFont="1"/>
    <xf numFmtId="44" fontId="20" fillId="0" borderId="0" xfId="29" applyFont="1"/>
    <xf numFmtId="44" fontId="20" fillId="0" borderId="0" xfId="0" applyNumberFormat="1" applyFont="1"/>
    <xf numFmtId="5" fontId="20" fillId="0" borderId="16" xfId="0" applyNumberFormat="1" applyFont="1" applyBorder="1" applyProtection="1"/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37" fontId="14" fillId="0" borderId="0" xfId="0" applyNumberFormat="1" applyFont="1" applyProtection="1"/>
    <xf numFmtId="10" fontId="20" fillId="18" borderId="17" xfId="0" applyNumberFormat="1" applyFont="1" applyFill="1" applyBorder="1" applyProtection="1"/>
    <xf numFmtId="0" fontId="20" fillId="18" borderId="17" xfId="0" applyFont="1" applyFill="1" applyBorder="1"/>
    <xf numFmtId="0" fontId="16" fillId="0" borderId="0" xfId="0" applyFont="1" applyBorder="1" applyAlignment="1">
      <alignment horizontal="left"/>
    </xf>
    <xf numFmtId="0" fontId="20" fillId="0" borderId="0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9" fontId="20" fillId="0" borderId="0" xfId="0" applyNumberFormat="1" applyFont="1" applyAlignment="1">
      <alignment horizontal="center"/>
    </xf>
    <xf numFmtId="0" fontId="20" fillId="0" borderId="0" xfId="0" applyFont="1" applyFill="1" applyBorder="1" applyAlignment="1">
      <alignment horizontal="center"/>
    </xf>
    <xf numFmtId="7" fontId="16" fillId="0" borderId="0" xfId="0" applyNumberFormat="1" applyFont="1"/>
    <xf numFmtId="10" fontId="20" fillId="18" borderId="17" xfId="29" applyNumberFormat="1" applyFont="1" applyFill="1" applyBorder="1"/>
    <xf numFmtId="0" fontId="20" fillId="0" borderId="0" xfId="0" applyFont="1" applyAlignment="1">
      <alignment horizontal="right" wrapText="1"/>
    </xf>
    <xf numFmtId="39" fontId="10" fillId="0" borderId="0" xfId="0" applyNumberFormat="1" applyFont="1" applyAlignment="1" applyProtection="1">
      <alignment horizontal="left"/>
    </xf>
    <xf numFmtId="10" fontId="25" fillId="0" borderId="0" xfId="0" applyNumberFormat="1" applyFont="1" applyProtection="1"/>
    <xf numFmtId="0" fontId="0" fillId="0" borderId="0" xfId="0" applyAlignment="1">
      <alignment horizontal="right"/>
    </xf>
    <xf numFmtId="0" fontId="6" fillId="0" borderId="0" xfId="0" applyFont="1" applyBorder="1" applyAlignment="1" applyProtection="1">
      <alignment horizontal="right"/>
    </xf>
    <xf numFmtId="0" fontId="0" fillId="0" borderId="0" xfId="0" applyBorder="1" applyAlignment="1">
      <alignment horizontal="right"/>
    </xf>
    <xf numFmtId="7" fontId="6" fillId="0" borderId="0" xfId="0" applyNumberFormat="1" applyFont="1" applyBorder="1" applyProtection="1"/>
    <xf numFmtId="9" fontId="6" fillId="0" borderId="0" xfId="0" applyNumberFormat="1" applyFont="1" applyBorder="1" applyProtection="1"/>
    <xf numFmtId="37" fontId="6" fillId="0" borderId="0" xfId="0" applyNumberFormat="1" applyFont="1" applyBorder="1" applyProtection="1"/>
    <xf numFmtId="2" fontId="0" fillId="0" borderId="0" xfId="0" applyNumberFormat="1" applyBorder="1"/>
    <xf numFmtId="0" fontId="17" fillId="0" borderId="0" xfId="0" applyFont="1"/>
    <xf numFmtId="3" fontId="0" fillId="0" borderId="0" xfId="0" applyNumberFormat="1"/>
    <xf numFmtId="3" fontId="20" fillId="0" borderId="0" xfId="0" applyNumberFormat="1" applyFont="1"/>
    <xf numFmtId="3" fontId="0" fillId="0" borderId="0" xfId="0" applyNumberFormat="1" applyAlignment="1">
      <alignment horizontal="right"/>
    </xf>
    <xf numFmtId="9" fontId="17" fillId="18" borderId="17" xfId="43" applyFont="1" applyFill="1" applyBorder="1"/>
    <xf numFmtId="0" fontId="16" fillId="0" borderId="0" xfId="0" applyFont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0" fontId="5" fillId="0" borderId="12" xfId="0" applyNumberFormat="1" applyFont="1" applyBorder="1" applyProtection="1"/>
    <xf numFmtId="0" fontId="5" fillId="0" borderId="10" xfId="0" applyFont="1" applyBorder="1" applyProtection="1"/>
    <xf numFmtId="0" fontId="8" fillId="0" borderId="18" xfId="0" applyFont="1" applyBorder="1" applyProtection="1"/>
    <xf numFmtId="0" fontId="8" fillId="0" borderId="11" xfId="0" applyFont="1" applyBorder="1" applyProtection="1"/>
    <xf numFmtId="0" fontId="8" fillId="0" borderId="12" xfId="0" applyFont="1" applyBorder="1" applyProtection="1"/>
    <xf numFmtId="0" fontId="8" fillId="0" borderId="10" xfId="0" applyFont="1" applyBorder="1" applyProtection="1"/>
    <xf numFmtId="0" fontId="20" fillId="0" borderId="0" xfId="0" applyFont="1" applyFill="1"/>
    <xf numFmtId="5" fontId="16" fillId="0" borderId="10" xfId="0" applyNumberFormat="1" applyFont="1" applyFill="1" applyBorder="1" applyAlignment="1">
      <alignment horizontal="right"/>
    </xf>
    <xf numFmtId="5" fontId="16" fillId="0" borderId="0" xfId="0" applyNumberFormat="1" applyFont="1" applyFill="1" applyBorder="1" applyAlignment="1">
      <alignment horizontal="right"/>
    </xf>
    <xf numFmtId="2" fontId="10" fillId="0" borderId="12" xfId="0" applyNumberFormat="1" applyFont="1" applyBorder="1" applyProtection="1"/>
    <xf numFmtId="37" fontId="6" fillId="0" borderId="0" xfId="0" applyNumberFormat="1" applyFont="1" applyFill="1" applyBorder="1" applyProtection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37" fontId="6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Protection="1"/>
    <xf numFmtId="172" fontId="6" fillId="0" borderId="0" xfId="0" applyNumberFormat="1" applyFont="1" applyFill="1" applyBorder="1" applyProtection="1"/>
    <xf numFmtId="0" fontId="16" fillId="0" borderId="0" xfId="0" applyFont="1" applyBorder="1" applyProtection="1">
      <protection hidden="1"/>
    </xf>
    <xf numFmtId="5" fontId="20" fillId="0" borderId="0" xfId="0" applyNumberFormat="1" applyFont="1" applyBorder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Border="1" applyProtection="1">
      <protection hidden="1"/>
    </xf>
    <xf numFmtId="0" fontId="20" fillId="0" borderId="0" xfId="0" applyFont="1" applyBorder="1" applyAlignment="1" applyProtection="1">
      <alignment horizontal="right"/>
      <protection hidden="1"/>
    </xf>
    <xf numFmtId="10" fontId="20" fillId="18" borderId="17" xfId="0" applyNumberFormat="1" applyFont="1" applyFill="1" applyBorder="1" applyProtection="1">
      <protection hidden="1"/>
    </xf>
    <xf numFmtId="49" fontId="20" fillId="0" borderId="0" xfId="0" quotePrefix="1" applyNumberFormat="1" applyFont="1" applyBorder="1" applyAlignment="1" applyProtection="1">
      <alignment horizontal="right"/>
      <protection hidden="1"/>
    </xf>
    <xf numFmtId="10" fontId="20" fillId="0" borderId="0" xfId="0" applyNumberFormat="1" applyFont="1" applyFill="1" applyBorder="1" applyProtection="1">
      <protection hidden="1"/>
    </xf>
    <xf numFmtId="0" fontId="10" fillId="0" borderId="0" xfId="0" applyFont="1" applyFill="1" applyBorder="1" applyProtection="1"/>
    <xf numFmtId="0" fontId="10" fillId="0" borderId="12" xfId="0" applyFont="1" applyFill="1" applyBorder="1" applyProtection="1"/>
    <xf numFmtId="0" fontId="10" fillId="0" borderId="10" xfId="0" applyFont="1" applyFill="1" applyBorder="1" applyProtection="1"/>
    <xf numFmtId="175" fontId="10" fillId="0" borderId="12" xfId="0" applyNumberFormat="1" applyFont="1" applyFill="1" applyBorder="1" applyProtection="1"/>
    <xf numFmtId="0" fontId="10" fillId="0" borderId="0" xfId="0" applyFont="1" applyFill="1" applyProtection="1"/>
    <xf numFmtId="0" fontId="0" fillId="0" borderId="0" xfId="0" applyBorder="1"/>
    <xf numFmtId="37" fontId="20" fillId="0" borderId="0" xfId="0" applyNumberFormat="1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right"/>
    </xf>
    <xf numFmtId="41" fontId="10" fillId="0" borderId="13" xfId="0" applyNumberFormat="1" applyFont="1" applyBorder="1" applyProtection="1"/>
    <xf numFmtId="41" fontId="10" fillId="0" borderId="13" xfId="0" applyNumberFormat="1" applyFont="1" applyFill="1" applyBorder="1" applyProtection="1"/>
    <xf numFmtId="41" fontId="10" fillId="0" borderId="0" xfId="0" applyNumberFormat="1" applyFont="1" applyProtection="1"/>
    <xf numFmtId="41" fontId="20" fillId="0" borderId="0" xfId="0" applyNumberFormat="1" applyFont="1"/>
    <xf numFmtId="43" fontId="11" fillId="0" borderId="19" xfId="0" applyNumberFormat="1" applyFont="1" applyBorder="1" applyProtection="1"/>
    <xf numFmtId="41" fontId="10" fillId="0" borderId="12" xfId="0" applyNumberFormat="1" applyFont="1" applyBorder="1" applyProtection="1"/>
    <xf numFmtId="173" fontId="10" fillId="0" borderId="12" xfId="0" applyNumberFormat="1" applyFont="1" applyBorder="1" applyProtection="1"/>
    <xf numFmtId="172" fontId="20" fillId="0" borderId="0" xfId="0" applyNumberFormat="1" applyFont="1" applyFill="1" applyBorder="1" applyProtection="1"/>
    <xf numFmtId="165" fontId="11" fillId="0" borderId="0" xfId="0" applyNumberFormat="1" applyFont="1" applyFill="1" applyProtection="1"/>
    <xf numFmtId="0" fontId="18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Continuous"/>
    </xf>
    <xf numFmtId="0" fontId="10" fillId="0" borderId="0" xfId="0" applyFont="1" applyFill="1" applyBorder="1" applyAlignment="1" applyProtection="1">
      <alignment horizontal="center"/>
    </xf>
    <xf numFmtId="1" fontId="10" fillId="0" borderId="0" xfId="0" applyNumberFormat="1" applyFont="1" applyFill="1" applyBorder="1" applyAlignment="1" applyProtection="1">
      <alignment horizontal="center"/>
    </xf>
    <xf numFmtId="164" fontId="5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right" wrapText="1"/>
    </xf>
    <xf numFmtId="169" fontId="10" fillId="0" borderId="0" xfId="29" applyNumberFormat="1" applyFont="1" applyFill="1" applyBorder="1" applyProtection="1"/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right"/>
    </xf>
    <xf numFmtId="5" fontId="5" fillId="0" borderId="0" xfId="0" applyNumberFormat="1" applyFont="1" applyFill="1" applyBorder="1" applyProtection="1"/>
    <xf numFmtId="173" fontId="20" fillId="0" borderId="0" xfId="28" applyNumberFormat="1" applyFont="1"/>
    <xf numFmtId="173" fontId="10" fillId="0" borderId="0" xfId="28" applyNumberFormat="1" applyFont="1" applyProtection="1"/>
    <xf numFmtId="8" fontId="0" fillId="0" borderId="0" xfId="0" applyNumberFormat="1"/>
    <xf numFmtId="173" fontId="0" fillId="0" borderId="0" xfId="28" applyNumberFormat="1" applyFont="1"/>
    <xf numFmtId="173" fontId="6" fillId="0" borderId="0" xfId="0" applyNumberFormat="1" applyFont="1" applyBorder="1" applyProtection="1"/>
    <xf numFmtId="0" fontId="20" fillId="0" borderId="0" xfId="0" applyFont="1" applyFill="1" applyBorder="1"/>
    <xf numFmtId="0" fontId="5" fillId="0" borderId="0" xfId="0" applyFont="1" applyFill="1" applyBorder="1" applyAlignment="1" applyProtection="1">
      <alignment horizontal="left"/>
    </xf>
    <xf numFmtId="3" fontId="16" fillId="0" borderId="0" xfId="0" applyNumberFormat="1" applyFont="1" applyFill="1" applyBorder="1"/>
    <xf numFmtId="170" fontId="10" fillId="0" borderId="0" xfId="0" applyNumberFormat="1" applyFont="1" applyFill="1" applyBorder="1" applyAlignment="1" applyProtection="1">
      <alignment horizontal="centerContinuous"/>
    </xf>
    <xf numFmtId="0" fontId="16" fillId="0" borderId="0" xfId="0" applyFont="1" applyFill="1" applyBorder="1"/>
    <xf numFmtId="173" fontId="16" fillId="0" borderId="0" xfId="28" applyNumberFormat="1" applyFont="1" applyFill="1" applyBorder="1"/>
    <xf numFmtId="37" fontId="10" fillId="0" borderId="0" xfId="0" applyNumberFormat="1" applyFont="1" applyFill="1" applyBorder="1" applyProtection="1"/>
    <xf numFmtId="0" fontId="10" fillId="0" borderId="0" xfId="0" applyFont="1" applyFill="1" applyBorder="1" applyAlignment="1" applyProtection="1">
      <alignment wrapText="1"/>
    </xf>
    <xf numFmtId="7" fontId="10" fillId="0" borderId="0" xfId="0" applyNumberFormat="1" applyFont="1" applyFill="1" applyBorder="1" applyProtection="1"/>
    <xf numFmtId="0" fontId="20" fillId="0" borderId="0" xfId="0" applyFont="1" applyFill="1" applyBorder="1" applyAlignment="1">
      <alignment wrapText="1"/>
    </xf>
    <xf numFmtId="7" fontId="20" fillId="0" borderId="0" xfId="0" applyNumberFormat="1" applyFont="1" applyFill="1" applyBorder="1"/>
    <xf numFmtId="10" fontId="11" fillId="0" borderId="0" xfId="0" applyNumberFormat="1" applyFont="1" applyFill="1" applyBorder="1" applyAlignment="1" applyProtection="1">
      <alignment horizontal="left"/>
    </xf>
    <xf numFmtId="3" fontId="20" fillId="0" borderId="0" xfId="0" applyNumberFormat="1" applyFont="1" applyFill="1" applyBorder="1"/>
    <xf numFmtId="0" fontId="10" fillId="0" borderId="13" xfId="0" applyFont="1" applyFill="1" applyBorder="1" applyProtection="1"/>
    <xf numFmtId="0" fontId="20" fillId="0" borderId="13" xfId="0" applyFont="1" applyBorder="1"/>
    <xf numFmtId="10" fontId="20" fillId="0" borderId="0" xfId="0" applyNumberFormat="1" applyFont="1" applyFill="1"/>
    <xf numFmtId="0" fontId="14" fillId="0" borderId="0" xfId="0" applyFont="1" applyBorder="1" applyProtection="1"/>
    <xf numFmtId="9" fontId="14" fillId="0" borderId="0" xfId="0" applyNumberFormat="1" applyFont="1" applyBorder="1" applyProtection="1"/>
    <xf numFmtId="165" fontId="11" fillId="0" borderId="0" xfId="0" applyNumberFormat="1" applyFont="1" applyBorder="1" applyProtection="1"/>
    <xf numFmtId="0" fontId="15" fillId="0" borderId="0" xfId="0" applyFont="1" applyBorder="1" applyProtection="1"/>
    <xf numFmtId="0" fontId="0" fillId="0" borderId="20" xfId="0" applyBorder="1"/>
    <xf numFmtId="9" fontId="0" fillId="0" borderId="0" xfId="0" applyNumberFormat="1" applyBorder="1"/>
    <xf numFmtId="0" fontId="5" fillId="0" borderId="21" xfId="0" applyFont="1" applyBorder="1" applyProtection="1"/>
    <xf numFmtId="0" fontId="10" fillId="0" borderId="21" xfId="0" applyFont="1" applyBorder="1" applyProtection="1"/>
    <xf numFmtId="0" fontId="21" fillId="0" borderId="21" xfId="0" applyFont="1" applyBorder="1" applyAlignment="1" applyProtection="1">
      <protection locked="0"/>
    </xf>
    <xf numFmtId="10" fontId="11" fillId="0" borderId="21" xfId="0" applyNumberFormat="1" applyFont="1" applyBorder="1" applyProtection="1"/>
    <xf numFmtId="0" fontId="10" fillId="0" borderId="21" xfId="0" applyFont="1" applyFill="1" applyBorder="1" applyProtection="1"/>
    <xf numFmtId="10" fontId="11" fillId="0" borderId="21" xfId="0" applyNumberFormat="1" applyFont="1" applyBorder="1" applyAlignment="1" applyProtection="1">
      <alignment horizontal="center"/>
    </xf>
    <xf numFmtId="5" fontId="10" fillId="0" borderId="20" xfId="0" applyNumberFormat="1" applyFont="1" applyFill="1" applyBorder="1" applyProtection="1"/>
    <xf numFmtId="10" fontId="11" fillId="0" borderId="22" xfId="0" applyNumberFormat="1" applyFont="1" applyBorder="1" applyProtection="1"/>
    <xf numFmtId="10" fontId="11" fillId="0" borderId="15" xfId="0" applyNumberFormat="1" applyFont="1" applyBorder="1" applyProtection="1"/>
    <xf numFmtId="0" fontId="5" fillId="0" borderId="23" xfId="0" applyFont="1" applyBorder="1" applyProtection="1"/>
    <xf numFmtId="0" fontId="12" fillId="0" borderId="12" xfId="0" applyFont="1" applyBorder="1" applyProtection="1">
      <protection locked="0"/>
    </xf>
    <xf numFmtId="10" fontId="11" fillId="0" borderId="10" xfId="0" applyNumberFormat="1" applyFont="1" applyBorder="1" applyAlignment="1" applyProtection="1">
      <alignment horizontal="fill"/>
      <protection locked="0"/>
    </xf>
    <xf numFmtId="10" fontId="11" fillId="0" borderId="22" xfId="0" applyNumberFormat="1" applyFont="1" applyBorder="1" applyAlignment="1" applyProtection="1">
      <alignment horizontal="right"/>
    </xf>
    <xf numFmtId="173" fontId="16" fillId="0" borderId="0" xfId="28" applyNumberFormat="1" applyFont="1"/>
    <xf numFmtId="5" fontId="16" fillId="0" borderId="0" xfId="0" applyNumberFormat="1" applyFont="1" applyBorder="1"/>
    <xf numFmtId="5" fontId="16" fillId="0" borderId="0" xfId="0" applyNumberFormat="1" applyFont="1" applyFill="1" applyBorder="1"/>
    <xf numFmtId="37" fontId="16" fillId="0" borderId="0" xfId="0" applyNumberFormat="1" applyFont="1" applyFill="1" applyBorder="1"/>
    <xf numFmtId="164" fontId="10" fillId="0" borderId="0" xfId="0" applyNumberFormat="1" applyFont="1" applyFill="1" applyBorder="1" applyAlignment="1" applyProtection="1">
      <alignment horizontal="center"/>
    </xf>
    <xf numFmtId="0" fontId="20" fillId="0" borderId="0" xfId="0" applyFont="1" applyBorder="1" applyAlignment="1">
      <alignment wrapText="1"/>
    </xf>
    <xf numFmtId="37" fontId="10" fillId="0" borderId="0" xfId="0" applyNumberFormat="1" applyFont="1" applyFill="1" applyBorder="1" applyAlignment="1" applyProtection="1">
      <alignment wrapText="1"/>
    </xf>
    <xf numFmtId="169" fontId="20" fillId="0" borderId="0" xfId="29" applyNumberFormat="1" applyFont="1" applyFill="1" applyBorder="1"/>
    <xf numFmtId="0" fontId="20" fillId="0" borderId="21" xfId="0" applyFont="1" applyFill="1" applyBorder="1"/>
    <xf numFmtId="0" fontId="5" fillId="0" borderId="21" xfId="0" applyFont="1" applyFill="1" applyBorder="1" applyAlignment="1" applyProtection="1">
      <alignment horizontal="left"/>
    </xf>
    <xf numFmtId="0" fontId="10" fillId="0" borderId="21" xfId="0" applyFont="1" applyFill="1" applyBorder="1" applyAlignment="1" applyProtection="1">
      <alignment horizontal="centerContinuous"/>
    </xf>
    <xf numFmtId="170" fontId="10" fillId="0" borderId="21" xfId="0" applyNumberFormat="1" applyFont="1" applyFill="1" applyBorder="1" applyAlignment="1" applyProtection="1">
      <alignment horizontal="centerContinuous"/>
    </xf>
    <xf numFmtId="3" fontId="16" fillId="0" borderId="21" xfId="0" applyNumberFormat="1" applyFont="1" applyFill="1" applyBorder="1"/>
    <xf numFmtId="173" fontId="16" fillId="0" borderId="21" xfId="28" applyNumberFormat="1" applyFont="1" applyFill="1" applyBorder="1"/>
    <xf numFmtId="0" fontId="20" fillId="0" borderId="10" xfId="0" applyFont="1" applyFill="1" applyBorder="1"/>
    <xf numFmtId="0" fontId="20" fillId="0" borderId="15" xfId="0" applyFont="1" applyFill="1" applyBorder="1"/>
    <xf numFmtId="0" fontId="10" fillId="0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 applyProtection="1">
      <alignment horizontal="left"/>
    </xf>
    <xf numFmtId="0" fontId="20" fillId="0" borderId="22" xfId="0" applyFont="1" applyFill="1" applyBorder="1"/>
    <xf numFmtId="0" fontId="20" fillId="0" borderId="20" xfId="0" applyFont="1" applyFill="1" applyBorder="1"/>
    <xf numFmtId="0" fontId="5" fillId="0" borderId="23" xfId="0" applyFont="1" applyFill="1" applyBorder="1" applyAlignment="1" applyProtection="1">
      <alignment horizontal="left"/>
    </xf>
    <xf numFmtId="0" fontId="7" fillId="0" borderId="12" xfId="0" applyFont="1" applyFill="1" applyBorder="1" applyAlignment="1" applyProtection="1">
      <alignment horizontal="centerContinuous"/>
    </xf>
    <xf numFmtId="0" fontId="20" fillId="0" borderId="12" xfId="0" applyFont="1" applyFill="1" applyBorder="1"/>
    <xf numFmtId="0" fontId="20" fillId="0" borderId="14" xfId="0" applyFont="1" applyFill="1" applyBorder="1"/>
    <xf numFmtId="10" fontId="21" fillId="0" borderId="12" xfId="0" applyNumberFormat="1" applyFont="1" applyFill="1" applyBorder="1"/>
    <xf numFmtId="170" fontId="10" fillId="0" borderId="12" xfId="0" applyNumberFormat="1" applyFont="1" applyFill="1" applyBorder="1" applyAlignment="1" applyProtection="1">
      <alignment horizontal="centerContinuous"/>
    </xf>
    <xf numFmtId="0" fontId="5" fillId="0" borderId="14" xfId="0" applyFont="1" applyFill="1" applyBorder="1" applyAlignment="1" applyProtection="1">
      <alignment horizontal="left"/>
    </xf>
    <xf numFmtId="0" fontId="10" fillId="0" borderId="20" xfId="0" applyFont="1" applyFill="1" applyBorder="1" applyAlignment="1" applyProtection="1">
      <alignment horizontal="centerContinuous"/>
    </xf>
    <xf numFmtId="170" fontId="10" fillId="0" borderId="20" xfId="0" applyNumberFormat="1" applyFont="1" applyFill="1" applyBorder="1" applyAlignment="1" applyProtection="1">
      <alignment horizontal="centerContinuous"/>
    </xf>
    <xf numFmtId="3" fontId="16" fillId="0" borderId="20" xfId="0" applyNumberFormat="1" applyFont="1" applyFill="1" applyBorder="1"/>
    <xf numFmtId="0" fontId="5" fillId="0" borderId="23" xfId="0" applyFont="1" applyFill="1" applyBorder="1" applyProtection="1"/>
    <xf numFmtId="0" fontId="10" fillId="0" borderId="12" xfId="0" applyFont="1" applyFill="1" applyBorder="1" applyAlignment="1" applyProtection="1">
      <alignment wrapText="1"/>
    </xf>
    <xf numFmtId="0" fontId="10" fillId="0" borderId="12" xfId="0" applyFont="1" applyFill="1" applyBorder="1" applyAlignment="1" applyProtection="1">
      <alignment horizontal="right" wrapText="1"/>
    </xf>
    <xf numFmtId="37" fontId="26" fillId="0" borderId="0" xfId="0" applyNumberFormat="1" applyFont="1" applyFill="1" applyBorder="1"/>
    <xf numFmtId="173" fontId="26" fillId="0" borderId="0" xfId="28" applyNumberFormat="1" applyFont="1" applyFill="1" applyBorder="1"/>
    <xf numFmtId="39" fontId="10" fillId="0" borderId="10" xfId="0" applyNumberFormat="1" applyFont="1" applyBorder="1" applyProtection="1"/>
    <xf numFmtId="5" fontId="25" fillId="0" borderId="10" xfId="0" applyNumberFormat="1" applyFont="1" applyBorder="1" applyProtection="1"/>
    <xf numFmtId="0" fontId="20" fillId="0" borderId="10" xfId="0" applyFont="1" applyBorder="1"/>
    <xf numFmtId="5" fontId="5" fillId="0" borderId="10" xfId="0" applyNumberFormat="1" applyFont="1" applyBorder="1" applyProtection="1"/>
    <xf numFmtId="0" fontId="0" fillId="0" borderId="10" xfId="0" applyBorder="1"/>
    <xf numFmtId="2" fontId="0" fillId="0" borderId="10" xfId="0" applyNumberFormat="1" applyBorder="1"/>
    <xf numFmtId="5" fontId="6" fillId="0" borderId="10" xfId="0" applyNumberFormat="1" applyFont="1" applyBorder="1" applyProtection="1"/>
    <xf numFmtId="37" fontId="5" fillId="0" borderId="12" xfId="0" applyNumberFormat="1" applyFont="1" applyBorder="1" applyProtection="1"/>
    <xf numFmtId="37" fontId="10" fillId="0" borderId="12" xfId="0" applyNumberFormat="1" applyFont="1" applyBorder="1" applyAlignment="1" applyProtection="1">
      <alignment horizontal="left" indent="1"/>
    </xf>
    <xf numFmtId="37" fontId="10" fillId="0" borderId="12" xfId="0" applyNumberFormat="1" applyFont="1" applyBorder="1" applyAlignment="1" applyProtection="1">
      <alignment horizontal="left" indent="2"/>
    </xf>
    <xf numFmtId="0" fontId="25" fillId="0" borderId="12" xfId="0" applyFont="1" applyBorder="1" applyAlignment="1" applyProtection="1">
      <alignment horizontal="left" indent="1"/>
    </xf>
    <xf numFmtId="0" fontId="20" fillId="0" borderId="12" xfId="0" applyFont="1" applyBorder="1" applyAlignment="1">
      <alignment horizontal="left" indent="1"/>
    </xf>
    <xf numFmtId="37" fontId="10" fillId="0" borderId="12" xfId="0" applyNumberFormat="1" applyFont="1" applyFill="1" applyBorder="1" applyAlignment="1" applyProtection="1">
      <alignment horizontal="left" indent="2"/>
    </xf>
    <xf numFmtId="37" fontId="25" fillId="0" borderId="12" xfId="0" applyNumberFormat="1" applyFont="1" applyBorder="1" applyAlignment="1" applyProtection="1">
      <alignment horizontal="left" indent="1"/>
    </xf>
    <xf numFmtId="37" fontId="5" fillId="0" borderId="12" xfId="0" applyNumberFormat="1" applyFont="1" applyBorder="1" applyAlignment="1" applyProtection="1">
      <alignment horizontal="left" indent="1"/>
    </xf>
    <xf numFmtId="37" fontId="10" fillId="0" borderId="12" xfId="0" applyNumberFormat="1" applyFont="1" applyBorder="1" applyProtection="1"/>
    <xf numFmtId="0" fontId="0" fillId="0" borderId="12" xfId="0" applyBorder="1"/>
    <xf numFmtId="0" fontId="0" fillId="0" borderId="12" xfId="0" applyBorder="1" applyAlignment="1">
      <alignment horizontal="right"/>
    </xf>
    <xf numFmtId="0" fontId="10" fillId="0" borderId="12" xfId="0" applyFont="1" applyBorder="1" applyAlignment="1" applyProtection="1">
      <alignment horizontal="right"/>
    </xf>
    <xf numFmtId="0" fontId="6" fillId="0" borderId="12" xfId="0" applyFont="1" applyBorder="1" applyProtection="1"/>
    <xf numFmtId="0" fontId="6" fillId="0" borderId="14" xfId="0" applyFont="1" applyBorder="1" applyProtection="1"/>
    <xf numFmtId="0" fontId="6" fillId="0" borderId="20" xfId="0" applyFont="1" applyBorder="1" applyProtection="1"/>
    <xf numFmtId="5" fontId="6" fillId="0" borderId="15" xfId="0" applyNumberFormat="1" applyFont="1" applyBorder="1" applyProtection="1"/>
    <xf numFmtId="37" fontId="10" fillId="0" borderId="0" xfId="0" applyNumberFormat="1" applyFont="1" applyBorder="1" applyProtection="1"/>
    <xf numFmtId="37" fontId="5" fillId="0" borderId="21" xfId="0" applyNumberFormat="1" applyFont="1" applyBorder="1" applyProtection="1"/>
    <xf numFmtId="37" fontId="10" fillId="0" borderId="21" xfId="0" applyNumberFormat="1" applyFont="1" applyBorder="1" applyProtection="1"/>
    <xf numFmtId="37" fontId="5" fillId="0" borderId="0" xfId="0" applyNumberFormat="1" applyFont="1" applyFill="1" applyBorder="1" applyProtection="1"/>
    <xf numFmtId="37" fontId="6" fillId="0" borderId="21" xfId="0" applyNumberFormat="1" applyFont="1" applyBorder="1" applyProtection="1"/>
    <xf numFmtId="0" fontId="0" fillId="0" borderId="21" xfId="0" applyBorder="1"/>
    <xf numFmtId="0" fontId="0" fillId="0" borderId="22" xfId="0" applyFill="1" applyBorder="1"/>
    <xf numFmtId="0" fontId="0" fillId="0" borderId="10" xfId="0" applyFill="1" applyBorder="1" applyAlignment="1">
      <alignment horizontal="right"/>
    </xf>
    <xf numFmtId="10" fontId="6" fillId="0" borderId="10" xfId="0" applyNumberFormat="1" applyFont="1" applyFill="1" applyBorder="1" applyProtection="1"/>
    <xf numFmtId="0" fontId="6" fillId="0" borderId="10" xfId="0" applyFont="1" applyFill="1" applyBorder="1" applyProtection="1"/>
    <xf numFmtId="37" fontId="20" fillId="0" borderId="0" xfId="0" applyNumberFormat="1" applyFont="1" applyFill="1" applyBorder="1" applyProtection="1"/>
    <xf numFmtId="37" fontId="10" fillId="0" borderId="13" xfId="0" applyNumberFormat="1" applyFont="1" applyBorder="1" applyProtection="1"/>
    <xf numFmtId="0" fontId="0" fillId="0" borderId="13" xfId="0" applyBorder="1"/>
    <xf numFmtId="37" fontId="6" fillId="0" borderId="14" xfId="0" applyNumberFormat="1" applyFont="1" applyBorder="1" applyProtection="1"/>
    <xf numFmtId="0" fontId="6" fillId="0" borderId="20" xfId="0" applyFont="1" applyBorder="1" applyAlignment="1" applyProtection="1">
      <alignment horizontal="right"/>
    </xf>
    <xf numFmtId="2" fontId="0" fillId="0" borderId="20" xfId="0" applyNumberFormat="1" applyBorder="1"/>
    <xf numFmtId="0" fontId="6" fillId="0" borderId="10" xfId="0" applyFont="1" applyBorder="1" applyProtection="1"/>
    <xf numFmtId="0" fontId="6" fillId="0" borderId="15" xfId="0" applyFont="1" applyBorder="1" applyProtection="1"/>
    <xf numFmtId="167" fontId="6" fillId="0" borderId="21" xfId="0" applyNumberFormat="1" applyFont="1" applyBorder="1" applyProtection="1"/>
    <xf numFmtId="0" fontId="6" fillId="0" borderId="21" xfId="0" applyFont="1" applyBorder="1" applyProtection="1"/>
    <xf numFmtId="0" fontId="10" fillId="0" borderId="24" xfId="0" applyFont="1" applyBorder="1" applyProtection="1"/>
    <xf numFmtId="0" fontId="6" fillId="0" borderId="24" xfId="0" applyFont="1" applyBorder="1" applyProtection="1"/>
    <xf numFmtId="37" fontId="5" fillId="0" borderId="0" xfId="0" applyNumberFormat="1" applyFont="1" applyBorder="1" applyProtection="1"/>
    <xf numFmtId="169" fontId="6" fillId="18" borderId="25" xfId="29" applyNumberFormat="1" applyFont="1" applyFill="1" applyBorder="1" applyProtection="1"/>
    <xf numFmtId="9" fontId="10" fillId="18" borderId="25" xfId="43" applyNumberFormat="1" applyFont="1" applyFill="1" applyBorder="1" applyProtection="1"/>
    <xf numFmtId="9" fontId="10" fillId="18" borderId="26" xfId="0" applyNumberFormat="1" applyFont="1" applyFill="1" applyBorder="1" applyProtection="1"/>
    <xf numFmtId="2" fontId="0" fillId="18" borderId="26" xfId="0" applyNumberFormat="1" applyFill="1" applyBorder="1"/>
    <xf numFmtId="2" fontId="0" fillId="18" borderId="27" xfId="0" applyNumberFormat="1" applyFill="1" applyBorder="1"/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centerContinuous"/>
    </xf>
    <xf numFmtId="5" fontId="5" fillId="0" borderId="20" xfId="0" applyNumberFormat="1" applyFont="1" applyBorder="1" applyProtection="1"/>
    <xf numFmtId="0" fontId="5" fillId="0" borderId="15" xfId="0" applyFont="1" applyBorder="1" applyProtection="1"/>
    <xf numFmtId="0" fontId="5" fillId="0" borderId="12" xfId="0" applyFont="1" applyBorder="1" applyProtection="1"/>
    <xf numFmtId="5" fontId="6" fillId="0" borderId="12" xfId="0" applyNumberFormat="1" applyFont="1" applyBorder="1" applyProtection="1"/>
    <xf numFmtId="7" fontId="6" fillId="0" borderId="12" xfId="0" applyNumberFormat="1" applyFont="1" applyBorder="1" applyProtection="1"/>
    <xf numFmtId="0" fontId="13" fillId="0" borderId="14" xfId="0" applyFont="1" applyBorder="1" applyProtection="1"/>
    <xf numFmtId="0" fontId="5" fillId="0" borderId="20" xfId="0" applyFont="1" applyBorder="1" applyAlignment="1" applyProtection="1">
      <alignment horizontal="right"/>
    </xf>
    <xf numFmtId="173" fontId="0" fillId="0" borderId="0" xfId="28" applyNumberFormat="1" applyFont="1" applyBorder="1"/>
    <xf numFmtId="37" fontId="10" fillId="0" borderId="13" xfId="0" applyNumberFormat="1" applyFont="1" applyBorder="1" applyAlignment="1" applyProtection="1">
      <alignment horizontal="left" indent="2"/>
    </xf>
    <xf numFmtId="10" fontId="6" fillId="0" borderId="0" xfId="0" applyNumberFormat="1" applyFont="1" applyBorder="1" applyProtection="1"/>
    <xf numFmtId="0" fontId="0" fillId="0" borderId="15" xfId="0" applyBorder="1"/>
    <xf numFmtId="0" fontId="0" fillId="0" borderId="14" xfId="0" applyBorder="1"/>
    <xf numFmtId="37" fontId="6" fillId="0" borderId="12" xfId="0" applyNumberFormat="1" applyFont="1" applyBorder="1" applyProtection="1"/>
    <xf numFmtId="10" fontId="20" fillId="0" borderId="0" xfId="0" applyNumberFormat="1" applyFont="1" applyFill="1" applyBorder="1" applyProtection="1"/>
    <xf numFmtId="169" fontId="6" fillId="0" borderId="0" xfId="29" applyNumberFormat="1" applyFont="1" applyAlignment="1" applyProtection="1">
      <alignment horizontal="right"/>
    </xf>
    <xf numFmtId="169" fontId="17" fillId="0" borderId="0" xfId="29" applyNumberFormat="1" applyFont="1" applyAlignment="1" applyProtection="1">
      <alignment horizontal="right"/>
    </xf>
    <xf numFmtId="169" fontId="0" fillId="0" borderId="0" xfId="29" applyNumberFormat="1" applyFont="1" applyAlignment="1">
      <alignment horizontal="right"/>
    </xf>
    <xf numFmtId="169" fontId="17" fillId="0" borderId="0" xfId="29" applyNumberFormat="1" applyFont="1" applyAlignment="1">
      <alignment horizontal="right"/>
    </xf>
    <xf numFmtId="0" fontId="6" fillId="0" borderId="10" xfId="0" applyFont="1" applyBorder="1" applyAlignment="1" applyProtection="1">
      <alignment horizontal="right"/>
    </xf>
    <xf numFmtId="164" fontId="6" fillId="18" borderId="26" xfId="0" applyNumberFormat="1" applyFont="1" applyFill="1" applyBorder="1" applyProtection="1"/>
    <xf numFmtId="37" fontId="6" fillId="18" borderId="26" xfId="0" applyNumberFormat="1" applyFont="1" applyFill="1" applyBorder="1" applyAlignment="1" applyProtection="1">
      <alignment horizontal="right"/>
    </xf>
    <xf numFmtId="0" fontId="20" fillId="0" borderId="18" xfId="0" applyFont="1" applyFill="1" applyBorder="1"/>
    <xf numFmtId="0" fontId="10" fillId="0" borderId="28" xfId="0" applyFont="1" applyFill="1" applyBorder="1" applyProtection="1"/>
    <xf numFmtId="0" fontId="20" fillId="0" borderId="20" xfId="0" applyFont="1" applyBorder="1"/>
    <xf numFmtId="0" fontId="20" fillId="0" borderId="28" xfId="0" applyFont="1" applyFill="1" applyBorder="1"/>
    <xf numFmtId="1" fontId="20" fillId="0" borderId="0" xfId="0" applyNumberFormat="1" applyFont="1" applyFill="1" applyBorder="1"/>
    <xf numFmtId="9" fontId="16" fillId="0" borderId="0" xfId="43" applyFont="1" applyFill="1" applyBorder="1"/>
    <xf numFmtId="173" fontId="16" fillId="0" borderId="20" xfId="28" applyNumberFormat="1" applyFont="1" applyFill="1" applyBorder="1"/>
    <xf numFmtId="0" fontId="10" fillId="0" borderId="20" xfId="0" applyFont="1" applyFill="1" applyBorder="1" applyProtection="1"/>
    <xf numFmtId="0" fontId="20" fillId="0" borderId="10" xfId="0" applyFont="1" applyFill="1" applyBorder="1" applyAlignment="1">
      <alignment wrapText="1"/>
    </xf>
    <xf numFmtId="5" fontId="20" fillId="0" borderId="0" xfId="0" applyNumberFormat="1" applyFont="1" applyFill="1" applyBorder="1"/>
    <xf numFmtId="0" fontId="5" fillId="0" borderId="0" xfId="0" applyFont="1" applyFill="1" applyBorder="1" applyAlignment="1" applyProtection="1">
      <alignment wrapText="1"/>
    </xf>
    <xf numFmtId="9" fontId="10" fillId="0" borderId="0" xfId="0" applyNumberFormat="1" applyFont="1" applyFill="1" applyBorder="1" applyAlignment="1" applyProtection="1">
      <alignment wrapText="1"/>
    </xf>
    <xf numFmtId="169" fontId="5" fillId="0" borderId="0" xfId="0" applyNumberFormat="1" applyFont="1" applyFill="1" applyBorder="1" applyProtection="1"/>
    <xf numFmtId="0" fontId="6" fillId="18" borderId="26" xfId="0" applyFont="1" applyFill="1" applyBorder="1" applyAlignment="1" applyProtection="1">
      <alignment horizontal="center"/>
    </xf>
    <xf numFmtId="0" fontId="23" fillId="0" borderId="10" xfId="0" applyFont="1" applyBorder="1" applyProtection="1"/>
    <xf numFmtId="5" fontId="6" fillId="18" borderId="26" xfId="0" applyNumberFormat="1" applyFont="1" applyFill="1" applyBorder="1" applyProtection="1"/>
    <xf numFmtId="0" fontId="6" fillId="0" borderId="29" xfId="0" applyFont="1" applyBorder="1" applyAlignment="1" applyProtection="1">
      <alignment horizontal="center"/>
    </xf>
    <xf numFmtId="0" fontId="6" fillId="0" borderId="30" xfId="0" applyFont="1" applyBorder="1" applyAlignment="1" applyProtection="1">
      <alignment horizontal="center"/>
    </xf>
    <xf numFmtId="0" fontId="6" fillId="0" borderId="28" xfId="0" applyFont="1" applyBorder="1" applyProtection="1"/>
    <xf numFmtId="0" fontId="0" fillId="0" borderId="0" xfId="0" applyBorder="1" applyAlignment="1">
      <alignment horizontal="center"/>
    </xf>
    <xf numFmtId="0" fontId="28" fillId="0" borderId="13" xfId="0" applyFont="1" applyBorder="1" applyProtection="1"/>
    <xf numFmtId="0" fontId="27" fillId="0" borderId="31" xfId="0" applyFont="1" applyBorder="1" applyProtection="1"/>
    <xf numFmtId="0" fontId="28" fillId="0" borderId="13" xfId="0" applyFont="1" applyBorder="1" applyAlignment="1" applyProtection="1">
      <alignment horizontal="right"/>
    </xf>
    <xf numFmtId="0" fontId="28" fillId="0" borderId="25" xfId="0" applyFont="1" applyBorder="1" applyProtection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2" xfId="0" applyBorder="1"/>
    <xf numFmtId="0" fontId="16" fillId="0" borderId="33" xfId="0" applyFont="1" applyBorder="1" applyAlignment="1">
      <alignment horizontal="center"/>
    </xf>
    <xf numFmtId="173" fontId="16" fillId="0" borderId="33" xfId="28" applyNumberFormat="1" applyFont="1" applyBorder="1"/>
    <xf numFmtId="0" fontId="16" fillId="0" borderId="34" xfId="0" applyFont="1" applyBorder="1"/>
    <xf numFmtId="0" fontId="29" fillId="0" borderId="30" xfId="0" applyFont="1" applyBorder="1"/>
    <xf numFmtId="0" fontId="0" fillId="0" borderId="29" xfId="0" applyBorder="1"/>
    <xf numFmtId="0" fontId="0" fillId="0" borderId="30" xfId="0" applyBorder="1"/>
    <xf numFmtId="173" fontId="0" fillId="0" borderId="29" xfId="28" applyNumberFormat="1" applyFont="1" applyBorder="1"/>
    <xf numFmtId="173" fontId="29" fillId="0" borderId="0" xfId="28" applyNumberFormat="1" applyFont="1" applyBorder="1"/>
    <xf numFmtId="173" fontId="29" fillId="0" borderId="29" xfId="28" applyNumberFormat="1" applyFont="1" applyBorder="1"/>
    <xf numFmtId="0" fontId="16" fillId="0" borderId="30" xfId="0" applyFont="1" applyBorder="1"/>
    <xf numFmtId="0" fontId="29" fillId="0" borderId="30" xfId="0" applyFont="1" applyBorder="1" applyAlignment="1">
      <alignment horizontal="right"/>
    </xf>
    <xf numFmtId="0" fontId="16" fillId="0" borderId="35" xfId="0" applyFont="1" applyBorder="1"/>
    <xf numFmtId="0" fontId="0" fillId="0" borderId="16" xfId="0" applyBorder="1" applyAlignment="1">
      <alignment horizontal="center"/>
    </xf>
    <xf numFmtId="9" fontId="0" fillId="0" borderId="29" xfId="43" applyFont="1" applyBorder="1"/>
    <xf numFmtId="9" fontId="0" fillId="0" borderId="29" xfId="0" applyNumberFormat="1" applyBorder="1"/>
    <xf numFmtId="0" fontId="0" fillId="0" borderId="35" xfId="0" applyBorder="1"/>
    <xf numFmtId="0" fontId="0" fillId="0" borderId="16" xfId="0" applyBorder="1"/>
    <xf numFmtId="9" fontId="0" fillId="0" borderId="36" xfId="43" applyFont="1" applyBorder="1"/>
    <xf numFmtId="173" fontId="16" fillId="0" borderId="16" xfId="28" applyNumberFormat="1" applyFont="1" applyBorder="1"/>
    <xf numFmtId="0" fontId="5" fillId="18" borderId="26" xfId="0" applyFont="1" applyFill="1" applyBorder="1" applyProtection="1"/>
    <xf numFmtId="0" fontId="16" fillId="0" borderId="0" xfId="0" applyFont="1" applyAlignment="1" applyProtection="1"/>
    <xf numFmtId="0" fontId="16" fillId="0" borderId="0" xfId="0" applyFont="1" applyAlignment="1">
      <alignment horizontal="left"/>
    </xf>
    <xf numFmtId="0" fontId="6" fillId="0" borderId="26" xfId="0" applyFont="1" applyBorder="1" applyAlignment="1" applyProtection="1">
      <alignment horizontal="left"/>
    </xf>
    <xf numFmtId="3" fontId="5" fillId="0" borderId="0" xfId="0" applyNumberFormat="1" applyFont="1" applyAlignment="1" applyProtection="1">
      <alignment horizontal="centerContinuous"/>
    </xf>
    <xf numFmtId="173" fontId="16" fillId="0" borderId="0" xfId="28" applyNumberFormat="1" applyFont="1" applyAlignment="1">
      <alignment horizontal="left"/>
    </xf>
    <xf numFmtId="173" fontId="16" fillId="0" borderId="0" xfId="28" applyNumberFormat="1" applyFont="1" applyAlignment="1"/>
    <xf numFmtId="0" fontId="31" fillId="0" borderId="0" xfId="0" applyFont="1"/>
    <xf numFmtId="0" fontId="6" fillId="0" borderId="0" xfId="0" applyFont="1" applyFill="1" applyBorder="1" applyAlignment="1" applyProtection="1">
      <alignment horizontal="center"/>
    </xf>
    <xf numFmtId="3" fontId="20" fillId="18" borderId="26" xfId="0" applyNumberFormat="1" applyFont="1" applyFill="1" applyBorder="1" applyAlignment="1">
      <alignment horizontal="center"/>
    </xf>
    <xf numFmtId="169" fontId="20" fillId="18" borderId="26" xfId="29" applyNumberFormat="1" applyFont="1" applyFill="1" applyBorder="1" applyAlignment="1">
      <alignment horizontal="center"/>
    </xf>
    <xf numFmtId="37" fontId="5" fillId="0" borderId="37" xfId="0" applyNumberFormat="1" applyFont="1" applyFill="1" applyBorder="1" applyProtection="1"/>
    <xf numFmtId="37" fontId="6" fillId="0" borderId="30" xfId="0" applyNumberFormat="1" applyFont="1" applyFill="1" applyBorder="1" applyProtection="1"/>
    <xf numFmtId="0" fontId="0" fillId="0" borderId="30" xfId="0" applyFill="1" applyBorder="1"/>
    <xf numFmtId="37" fontId="6" fillId="0" borderId="30" xfId="0" applyNumberFormat="1" applyFont="1" applyBorder="1" applyProtection="1"/>
    <xf numFmtId="0" fontId="0" fillId="0" borderId="38" xfId="0" applyBorder="1"/>
    <xf numFmtId="170" fontId="16" fillId="0" borderId="0" xfId="0" applyNumberFormat="1" applyFont="1"/>
    <xf numFmtId="0" fontId="20" fillId="0" borderId="39" xfId="0" applyFont="1" applyBorder="1"/>
    <xf numFmtId="0" fontId="5" fillId="0" borderId="40" xfId="0" applyFont="1" applyBorder="1" applyAlignment="1" applyProtection="1">
      <alignment horizontal="right"/>
    </xf>
    <xf numFmtId="10" fontId="6" fillId="0" borderId="0" xfId="43" applyNumberFormat="1" applyFont="1" applyFill="1" applyBorder="1" applyProtection="1"/>
    <xf numFmtId="0" fontId="10" fillId="0" borderId="12" xfId="0" applyFont="1" applyBorder="1" applyAlignment="1" applyProtection="1">
      <alignment horizontal="right" indent="1"/>
    </xf>
    <xf numFmtId="0" fontId="3" fillId="0" borderId="0" xfId="40"/>
    <xf numFmtId="0" fontId="32" fillId="0" borderId="0" xfId="40" applyFont="1" applyAlignment="1">
      <alignment horizontal="left"/>
    </xf>
    <xf numFmtId="0" fontId="32" fillId="0" borderId="0" xfId="40" applyFont="1"/>
    <xf numFmtId="0" fontId="32" fillId="0" borderId="0" xfId="40" applyFont="1" applyAlignment="1">
      <alignment horizontal="center"/>
    </xf>
    <xf numFmtId="0" fontId="3" fillId="0" borderId="0" xfId="40" applyAlignment="1">
      <alignment horizontal="left"/>
    </xf>
    <xf numFmtId="170" fontId="3" fillId="0" borderId="16" xfId="40" applyNumberFormat="1" applyBorder="1" applyAlignment="1">
      <alignment horizontal="center"/>
    </xf>
    <xf numFmtId="0" fontId="21" fillId="0" borderId="0" xfId="40" applyFont="1" applyAlignment="1">
      <alignment horizontal="left"/>
    </xf>
    <xf numFmtId="0" fontId="3" fillId="0" borderId="0" xfId="40" applyAlignment="1">
      <alignment horizontal="center"/>
    </xf>
    <xf numFmtId="0" fontId="21" fillId="0" borderId="0" xfId="40" applyFont="1"/>
    <xf numFmtId="3" fontId="3" fillId="0" borderId="16" xfId="40" applyNumberFormat="1" applyBorder="1" applyAlignment="1">
      <alignment horizontal="center"/>
    </xf>
    <xf numFmtId="3" fontId="32" fillId="0" borderId="16" xfId="40" applyNumberFormat="1" applyFont="1" applyBorder="1" applyAlignment="1">
      <alignment horizontal="center"/>
    </xf>
    <xf numFmtId="0" fontId="5" fillId="19" borderId="26" xfId="0" applyFont="1" applyFill="1" applyBorder="1" applyProtection="1"/>
    <xf numFmtId="0" fontId="5" fillId="0" borderId="26" xfId="0" applyFont="1" applyFill="1" applyBorder="1" applyProtection="1"/>
    <xf numFmtId="0" fontId="16" fillId="0" borderId="0" xfId="0" applyFont="1" applyFill="1" applyAlignment="1" applyProtection="1">
      <alignment horizontal="right"/>
    </xf>
    <xf numFmtId="44" fontId="20" fillId="18" borderId="26" xfId="29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3" fontId="20" fillId="0" borderId="26" xfId="0" applyNumberFormat="1" applyFont="1" applyFill="1" applyBorder="1" applyAlignment="1">
      <alignment horizontal="center"/>
    </xf>
    <xf numFmtId="0" fontId="3" fillId="0" borderId="0" xfId="40" applyFill="1"/>
    <xf numFmtId="0" fontId="16" fillId="0" borderId="0" xfId="40" applyFont="1"/>
    <xf numFmtId="0" fontId="16" fillId="0" borderId="0" xfId="40" applyFont="1" applyFill="1"/>
    <xf numFmtId="0" fontId="16" fillId="20" borderId="0" xfId="40" applyFont="1" applyFill="1"/>
    <xf numFmtId="0" fontId="20" fillId="0" borderId="41" xfId="0" applyFont="1" applyFill="1" applyBorder="1"/>
    <xf numFmtId="0" fontId="20" fillId="0" borderId="0" xfId="39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0" borderId="0" xfId="39" applyFont="1" applyFill="1" applyBorder="1" applyAlignment="1">
      <alignment horizontal="center"/>
    </xf>
    <xf numFmtId="173" fontId="20" fillId="0" borderId="0" xfId="28" applyNumberFormat="1" applyFont="1" applyFill="1" applyBorder="1"/>
    <xf numFmtId="3" fontId="20" fillId="0" borderId="0" xfId="0" applyNumberFormat="1" applyFont="1" applyAlignment="1">
      <alignment horizontal="center"/>
    </xf>
    <xf numFmtId="0" fontId="16" fillId="19" borderId="40" xfId="39" applyFont="1" applyFill="1" applyBorder="1" applyAlignment="1">
      <alignment horizontal="center"/>
    </xf>
    <xf numFmtId="3" fontId="20" fillId="19" borderId="42" xfId="0" applyNumberFormat="1" applyFont="1" applyFill="1" applyBorder="1" applyAlignment="1">
      <alignment horizontal="center"/>
    </xf>
    <xf numFmtId="9" fontId="20" fillId="0" borderId="0" xfId="39" applyNumberFormat="1" applyFont="1" applyFill="1" applyBorder="1" applyAlignment="1">
      <alignment horizontal="center"/>
    </xf>
    <xf numFmtId="43" fontId="20" fillId="0" borderId="0" xfId="39" applyNumberFormat="1" applyFont="1" applyFill="1" applyBorder="1" applyAlignment="1">
      <alignment horizontal="center"/>
    </xf>
    <xf numFmtId="0" fontId="20" fillId="0" borderId="10" xfId="39" applyFont="1" applyFill="1" applyBorder="1" applyAlignment="1">
      <alignment horizontal="center" wrapText="1"/>
    </xf>
    <xf numFmtId="0" fontId="5" fillId="0" borderId="20" xfId="0" applyFont="1" applyFill="1" applyBorder="1" applyAlignment="1" applyProtection="1">
      <alignment horizontal="right"/>
    </xf>
    <xf numFmtId="173" fontId="20" fillId="0" borderId="10" xfId="28" applyNumberFormat="1" applyFont="1" applyFill="1" applyBorder="1"/>
    <xf numFmtId="0" fontId="20" fillId="0" borderId="4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9" xfId="0" applyFont="1" applyBorder="1"/>
    <xf numFmtId="0" fontId="20" fillId="19" borderId="18" xfId="39" applyFont="1" applyFill="1" applyBorder="1" applyAlignment="1">
      <alignment horizontal="center" wrapText="1"/>
    </xf>
    <xf numFmtId="0" fontId="20" fillId="19" borderId="11" xfId="39" applyFont="1" applyFill="1" applyBorder="1" applyAlignment="1">
      <alignment horizontal="center" wrapText="1"/>
    </xf>
    <xf numFmtId="0" fontId="20" fillId="0" borderId="12" xfId="39" applyFont="1" applyFill="1" applyBorder="1" applyAlignment="1">
      <alignment horizontal="right"/>
    </xf>
    <xf numFmtId="0" fontId="20" fillId="0" borderId="14" xfId="39" applyFont="1" applyFill="1" applyBorder="1" applyAlignment="1">
      <alignment horizontal="right"/>
    </xf>
    <xf numFmtId="0" fontId="20" fillId="0" borderId="20" xfId="39" applyFont="1" applyFill="1" applyBorder="1" applyAlignment="1">
      <alignment horizontal="center"/>
    </xf>
    <xf numFmtId="9" fontId="20" fillId="0" borderId="14" xfId="43" applyFont="1" applyFill="1" applyBorder="1" applyAlignment="1">
      <alignment horizontal="left"/>
    </xf>
    <xf numFmtId="0" fontId="20" fillId="0" borderId="20" xfId="39" applyFont="1" applyFill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20" fillId="18" borderId="26" xfId="0" applyFont="1" applyFill="1" applyBorder="1"/>
    <xf numFmtId="5" fontId="17" fillId="18" borderId="29" xfId="0" applyNumberFormat="1" applyFont="1" applyFill="1" applyBorder="1" applyProtection="1"/>
    <xf numFmtId="173" fontId="20" fillId="0" borderId="0" xfId="28" applyNumberFormat="1" applyFont="1" applyBorder="1" applyAlignment="1">
      <alignment horizontal="right"/>
    </xf>
    <xf numFmtId="5" fontId="20" fillId="0" borderId="0" xfId="0" quotePrefix="1" applyNumberFormat="1" applyFont="1" applyBorder="1" applyProtection="1"/>
    <xf numFmtId="2" fontId="20" fillId="0" borderId="0" xfId="0" applyNumberFormat="1" applyFont="1" applyBorder="1"/>
    <xf numFmtId="0" fontId="16" fillId="0" borderId="0" xfId="0" applyFont="1" applyFill="1"/>
    <xf numFmtId="3" fontId="20" fillId="0" borderId="0" xfId="0" applyNumberFormat="1" applyFont="1" applyFill="1" applyBorder="1" applyAlignment="1">
      <alignment horizontal="center"/>
    </xf>
    <xf numFmtId="0" fontId="16" fillId="0" borderId="0" xfId="39" applyFont="1" applyFill="1" applyBorder="1" applyAlignment="1">
      <alignment horizontal="left"/>
    </xf>
    <xf numFmtId="0" fontId="20" fillId="0" borderId="16" xfId="0" applyFont="1" applyFill="1" applyBorder="1"/>
    <xf numFmtId="0" fontId="16" fillId="0" borderId="0" xfId="0" applyFont="1" applyFill="1" applyAlignment="1">
      <alignment horizontal="center"/>
    </xf>
    <xf numFmtId="3" fontId="20" fillId="0" borderId="17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right"/>
    </xf>
    <xf numFmtId="164" fontId="5" fillId="0" borderId="0" xfId="0" applyNumberFormat="1" applyFont="1" applyFill="1" applyBorder="1" applyAlignment="1" applyProtection="1">
      <alignment horizontal="left"/>
    </xf>
    <xf numFmtId="0" fontId="10" fillId="0" borderId="12" xfId="0" applyFont="1" applyFill="1" applyBorder="1" applyAlignment="1" applyProtection="1">
      <alignment horizontal="right" indent="1"/>
    </xf>
    <xf numFmtId="0" fontId="10" fillId="0" borderId="0" xfId="0" applyFont="1" applyFill="1" applyBorder="1" applyAlignment="1" applyProtection="1">
      <alignment horizontal="left" wrapText="1"/>
    </xf>
    <xf numFmtId="37" fontId="10" fillId="0" borderId="0" xfId="0" applyNumberFormat="1" applyFont="1" applyFill="1" applyBorder="1" applyAlignment="1" applyProtection="1">
      <alignment horizontal="center" wrapText="1"/>
    </xf>
    <xf numFmtId="7" fontId="10" fillId="0" borderId="0" xfId="0" applyNumberFormat="1" applyFont="1" applyFill="1" applyBorder="1" applyAlignment="1" applyProtection="1">
      <alignment horizontal="center" wrapText="1"/>
    </xf>
    <xf numFmtId="0" fontId="33" fillId="19" borderId="40" xfId="39" applyFont="1" applyFill="1" applyBorder="1" applyAlignment="1">
      <alignment horizontal="center"/>
    </xf>
    <xf numFmtId="173" fontId="5" fillId="0" borderId="10" xfId="0" applyNumberFormat="1" applyFont="1" applyFill="1" applyBorder="1" applyProtection="1"/>
    <xf numFmtId="173" fontId="5" fillId="0" borderId="15" xfId="0" applyNumberFormat="1" applyFont="1" applyFill="1" applyBorder="1" applyProtection="1"/>
    <xf numFmtId="0" fontId="20" fillId="19" borderId="0" xfId="39" applyFont="1" applyFill="1" applyBorder="1" applyAlignment="1">
      <alignment horizontal="center"/>
    </xf>
    <xf numFmtId="43" fontId="20" fillId="19" borderId="0" xfId="39" applyNumberFormat="1" applyFont="1" applyFill="1" applyBorder="1" applyAlignment="1">
      <alignment horizontal="center"/>
    </xf>
    <xf numFmtId="173" fontId="20" fillId="19" borderId="0" xfId="28" applyNumberFormat="1" applyFont="1" applyFill="1" applyBorder="1"/>
    <xf numFmtId="3" fontId="20" fillId="19" borderId="0" xfId="0" applyNumberFormat="1" applyFont="1" applyFill="1" applyAlignment="1">
      <alignment horizontal="center"/>
    </xf>
    <xf numFmtId="169" fontId="0" fillId="0" borderId="0" xfId="0" applyNumberFormat="1"/>
    <xf numFmtId="171" fontId="20" fillId="0" borderId="0" xfId="0" applyNumberFormat="1" applyFont="1" applyBorder="1" applyAlignment="1">
      <alignment horizontal="center"/>
    </xf>
    <xf numFmtId="174" fontId="6" fillId="0" borderId="20" xfId="0" applyNumberFormat="1" applyFont="1" applyBorder="1" applyProtection="1"/>
    <xf numFmtId="5" fontId="0" fillId="0" borderId="30" xfId="0" applyNumberFormat="1" applyBorder="1"/>
    <xf numFmtId="43" fontId="0" fillId="0" borderId="30" xfId="28" applyFont="1" applyBorder="1"/>
    <xf numFmtId="173" fontId="6" fillId="0" borderId="0" xfId="28" applyNumberFormat="1" applyFont="1" applyProtection="1"/>
    <xf numFmtId="173" fontId="0" fillId="0" borderId="0" xfId="0" applyNumberFormat="1"/>
    <xf numFmtId="173" fontId="35" fillId="0" borderId="0" xfId="28" applyNumberFormat="1" applyFont="1"/>
    <xf numFmtId="173" fontId="35" fillId="0" borderId="0" xfId="28" applyNumberFormat="1" applyFont="1" applyProtection="1"/>
    <xf numFmtId="0" fontId="20" fillId="18" borderId="26" xfId="29" applyNumberFormat="1" applyFont="1" applyFill="1" applyBorder="1" applyAlignment="1">
      <alignment horizontal="center"/>
    </xf>
    <xf numFmtId="173" fontId="20" fillId="0" borderId="0" xfId="28" applyNumberFormat="1" applyFont="1" applyFill="1"/>
    <xf numFmtId="0" fontId="36" fillId="0" borderId="12" xfId="0" applyFont="1" applyBorder="1"/>
    <xf numFmtId="0" fontId="24" fillId="0" borderId="12" xfId="0" applyFont="1" applyBorder="1"/>
    <xf numFmtId="0" fontId="17" fillId="0" borderId="33" xfId="0" applyFont="1" applyFill="1" applyBorder="1"/>
    <xf numFmtId="0" fontId="35" fillId="0" borderId="33" xfId="0" applyFont="1" applyBorder="1"/>
    <xf numFmtId="173" fontId="0" fillId="18" borderId="17" xfId="28" applyNumberFormat="1" applyFont="1" applyFill="1" applyBorder="1"/>
    <xf numFmtId="0" fontId="0" fillId="19" borderId="29" xfId="0" applyFill="1" applyBorder="1"/>
    <xf numFmtId="0" fontId="39" fillId="0" borderId="0" xfId="0" applyFont="1"/>
    <xf numFmtId="171" fontId="2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wrapText="1"/>
    </xf>
    <xf numFmtId="0" fontId="40" fillId="0" borderId="0" xfId="0" applyFont="1" applyFill="1" applyBorder="1"/>
    <xf numFmtId="37" fontId="33" fillId="0" borderId="0" xfId="0" applyNumberFormat="1" applyFont="1" applyFill="1" applyBorder="1"/>
    <xf numFmtId="3" fontId="33" fillId="0" borderId="0" xfId="0" applyNumberFormat="1" applyFont="1" applyFill="1" applyBorder="1"/>
    <xf numFmtId="0" fontId="33" fillId="0" borderId="0" xfId="0" applyFont="1" applyFill="1" applyBorder="1"/>
    <xf numFmtId="41" fontId="3" fillId="0" borderId="0" xfId="0" applyNumberFormat="1" applyFont="1" applyFill="1" applyBorder="1" applyProtection="1"/>
    <xf numFmtId="0" fontId="29" fillId="0" borderId="0" xfId="0" applyFont="1" applyAlignment="1">
      <alignment horizontal="left"/>
    </xf>
    <xf numFmtId="9" fontId="16" fillId="18" borderId="17" xfId="43" applyFont="1" applyFill="1" applyBorder="1" applyAlignment="1">
      <alignment horizontal="center"/>
    </xf>
    <xf numFmtId="0" fontId="20" fillId="18" borderId="31" xfId="0" applyFont="1" applyFill="1" applyBorder="1"/>
    <xf numFmtId="0" fontId="20" fillId="19" borderId="0" xfId="0" applyFont="1" applyFill="1" applyAlignment="1">
      <alignment horizontal="center"/>
    </xf>
    <xf numFmtId="3" fontId="20" fillId="19" borderId="39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right"/>
    </xf>
    <xf numFmtId="173" fontId="5" fillId="0" borderId="0" xfId="0" applyNumberFormat="1" applyFont="1" applyFill="1" applyBorder="1" applyProtection="1"/>
    <xf numFmtId="0" fontId="16" fillId="0" borderId="10" xfId="0" applyFont="1" applyBorder="1" applyAlignment="1">
      <alignment horizontal="right"/>
    </xf>
    <xf numFmtId="173" fontId="20" fillId="0" borderId="43" xfId="0" applyNumberFormat="1" applyFont="1" applyBorder="1" applyAlignment="1">
      <alignment horizontal="center"/>
    </xf>
    <xf numFmtId="0" fontId="20" fillId="18" borderId="26" xfId="0" applyFont="1" applyFill="1" applyBorder="1" applyAlignment="1">
      <alignment horizontal="right"/>
    </xf>
    <xf numFmtId="0" fontId="20" fillId="18" borderId="27" xfId="0" applyFont="1" applyFill="1" applyBorder="1" applyAlignment="1">
      <alignment horizontal="right"/>
    </xf>
    <xf numFmtId="173" fontId="58" fillId="0" borderId="10" xfId="28" applyNumberFormat="1" applyFont="1" applyFill="1" applyBorder="1"/>
    <xf numFmtId="0" fontId="20" fillId="0" borderId="16" xfId="0" applyFont="1" applyBorder="1" applyAlignment="1">
      <alignment horizontal="right"/>
    </xf>
    <xf numFmtId="0" fontId="20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170" fontId="5" fillId="0" borderId="10" xfId="0" applyNumberFormat="1" applyFont="1" applyBorder="1" applyAlignment="1" applyProtection="1">
      <alignment horizontal="right"/>
    </xf>
    <xf numFmtId="37" fontId="6" fillId="0" borderId="26" xfId="0" applyNumberFormat="1" applyFont="1" applyBorder="1" applyAlignment="1" applyProtection="1"/>
    <xf numFmtId="10" fontId="5" fillId="0" borderId="0" xfId="0" applyNumberFormat="1" applyFont="1" applyProtection="1"/>
    <xf numFmtId="41" fontId="6" fillId="0" borderId="0" xfId="0" applyNumberFormat="1" applyFont="1" applyProtection="1"/>
    <xf numFmtId="3" fontId="10" fillId="0" borderId="0" xfId="0" applyNumberFormat="1" applyFont="1" applyBorder="1" applyProtection="1"/>
    <xf numFmtId="173" fontId="16" fillId="0" borderId="36" xfId="28" applyNumberFormat="1" applyFont="1" applyFill="1" applyBorder="1"/>
    <xf numFmtId="0" fontId="17" fillId="18" borderId="26" xfId="0" applyFont="1" applyFill="1" applyBorder="1"/>
    <xf numFmtId="0" fontId="17" fillId="18" borderId="31" xfId="0" applyFont="1" applyFill="1" applyBorder="1"/>
    <xf numFmtId="0" fontId="17" fillId="18" borderId="26" xfId="0" applyFont="1" applyFill="1" applyBorder="1" applyAlignment="1">
      <alignment horizontal="right"/>
    </xf>
    <xf numFmtId="0" fontId="17" fillId="0" borderId="0" xfId="39" applyFont="1" applyFill="1" applyBorder="1" applyAlignment="1">
      <alignment horizontal="center" wrapText="1"/>
    </xf>
    <xf numFmtId="0" fontId="59" fillId="0" borderId="0" xfId="39" applyFont="1" applyFill="1" applyBorder="1" applyAlignment="1">
      <alignment horizontal="center" wrapText="1"/>
    </xf>
    <xf numFmtId="0" fontId="60" fillId="0" borderId="0" xfId="0" applyFont="1" applyBorder="1"/>
    <xf numFmtId="0" fontId="60" fillId="0" borderId="0" xfId="0" applyFont="1"/>
    <xf numFmtId="9" fontId="60" fillId="0" borderId="0" xfId="43" applyFont="1" applyBorder="1"/>
    <xf numFmtId="7" fontId="60" fillId="0" borderId="0" xfId="29" applyNumberFormat="1" applyFont="1"/>
    <xf numFmtId="0" fontId="17" fillId="0" borderId="0" xfId="0" applyFont="1" applyBorder="1"/>
    <xf numFmtId="37" fontId="17" fillId="18" borderId="26" xfId="0" applyNumberFormat="1" applyFont="1" applyFill="1" applyBorder="1"/>
    <xf numFmtId="0" fontId="17" fillId="0" borderId="16" xfId="0" applyFont="1" applyBorder="1" applyAlignment="1">
      <alignment horizontal="right"/>
    </xf>
    <xf numFmtId="41" fontId="17" fillId="18" borderId="0" xfId="0" applyNumberFormat="1" applyFont="1" applyFill="1"/>
    <xf numFmtId="10" fontId="6" fillId="0" borderId="12" xfId="0" applyNumberFormat="1" applyFont="1" applyFill="1" applyBorder="1" applyProtection="1"/>
    <xf numFmtId="169" fontId="17" fillId="18" borderId="26" xfId="29" applyNumberFormat="1" applyFont="1" applyFill="1" applyBorder="1" applyAlignment="1">
      <alignment horizontal="center"/>
    </xf>
    <xf numFmtId="41" fontId="17" fillId="18" borderId="10" xfId="0" applyNumberFormat="1" applyFont="1" applyFill="1" applyBorder="1"/>
    <xf numFmtId="5" fontId="17" fillId="0" borderId="0" xfId="0" applyNumberFormat="1" applyFont="1" applyProtection="1"/>
    <xf numFmtId="6" fontId="20" fillId="0" borderId="0" xfId="0" applyNumberFormat="1" applyFont="1"/>
    <xf numFmtId="3" fontId="17" fillId="18" borderId="26" xfId="0" applyNumberFormat="1" applyFont="1" applyFill="1" applyBorder="1" applyAlignment="1">
      <alignment horizontal="center"/>
    </xf>
    <xf numFmtId="3" fontId="17" fillId="18" borderId="31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175" fontId="6" fillId="0" borderId="12" xfId="0" applyNumberFormat="1" applyFont="1" applyFill="1" applyBorder="1" applyProtection="1"/>
    <xf numFmtId="10" fontId="17" fillId="18" borderId="0" xfId="0" applyNumberFormat="1" applyFont="1" applyFill="1" applyBorder="1" applyProtection="1"/>
    <xf numFmtId="10" fontId="17" fillId="18" borderId="0" xfId="0" applyNumberFormat="1" applyFont="1" applyFill="1" applyBorder="1"/>
    <xf numFmtId="5" fontId="62" fillId="0" borderId="0" xfId="0" applyNumberFormat="1" applyFont="1" applyBorder="1" applyProtection="1"/>
    <xf numFmtId="170" fontId="17" fillId="18" borderId="0" xfId="0" applyNumberFormat="1" applyFont="1" applyFill="1"/>
    <xf numFmtId="0" fontId="17" fillId="0" borderId="10" xfId="0" applyFont="1" applyBorder="1" applyProtection="1"/>
    <xf numFmtId="0" fontId="5" fillId="0" borderId="20" xfId="0" applyFont="1" applyFill="1" applyBorder="1" applyProtection="1"/>
    <xf numFmtId="3" fontId="17" fillId="0" borderId="26" xfId="0" applyNumberFormat="1" applyFont="1" applyFill="1" applyBorder="1" applyAlignment="1">
      <alignment horizontal="center"/>
    </xf>
    <xf numFmtId="0" fontId="3" fillId="0" borderId="0" xfId="40" applyFont="1"/>
    <xf numFmtId="0" fontId="57" fillId="0" borderId="0" xfId="40" applyFont="1"/>
    <xf numFmtId="0" fontId="61" fillId="0" borderId="0" xfId="0" applyFont="1"/>
    <xf numFmtId="41" fontId="63" fillId="18" borderId="10" xfId="0" applyNumberFormat="1" applyFont="1" applyFill="1" applyBorder="1" applyProtection="1"/>
    <xf numFmtId="0" fontId="17" fillId="0" borderId="30" xfId="0" applyFont="1" applyBorder="1"/>
    <xf numFmtId="0" fontId="17" fillId="0" borderId="0" xfId="0" applyFont="1" applyBorder="1" applyAlignment="1">
      <alignment horizontal="center"/>
    </xf>
    <xf numFmtId="173" fontId="17" fillId="0" borderId="0" xfId="28" applyNumberFormat="1" applyFont="1" applyBorder="1"/>
    <xf numFmtId="173" fontId="17" fillId="18" borderId="17" xfId="28" applyNumberFormat="1" applyFont="1" applyFill="1" applyBorder="1"/>
    <xf numFmtId="5" fontId="63" fillId="0" borderId="10" xfId="0" quotePrefix="1" applyNumberFormat="1" applyFont="1" applyBorder="1" applyProtection="1"/>
    <xf numFmtId="0" fontId="28" fillId="0" borderId="13" xfId="0" applyFont="1" applyFill="1" applyBorder="1" applyAlignment="1" applyProtection="1">
      <alignment horizontal="right"/>
    </xf>
    <xf numFmtId="10" fontId="28" fillId="0" borderId="0" xfId="0" applyNumberFormat="1" applyFont="1" applyProtection="1"/>
    <xf numFmtId="171" fontId="17" fillId="0" borderId="0" xfId="0" applyNumberFormat="1" applyFont="1" applyBorder="1" applyAlignment="1">
      <alignment horizontal="center"/>
    </xf>
    <xf numFmtId="171" fontId="17" fillId="0" borderId="0" xfId="0" applyNumberFormat="1" applyFont="1" applyFill="1" applyBorder="1" applyAlignment="1">
      <alignment horizontal="center"/>
    </xf>
    <xf numFmtId="10" fontId="17" fillId="0" borderId="0" xfId="0" applyNumberFormat="1" applyFont="1" applyProtection="1"/>
    <xf numFmtId="170" fontId="16" fillId="0" borderId="13" xfId="0" applyNumberFormat="1" applyFont="1" applyFill="1" applyBorder="1" applyProtection="1"/>
    <xf numFmtId="1" fontId="6" fillId="0" borderId="0" xfId="0" applyNumberFormat="1" applyFont="1" applyProtection="1"/>
    <xf numFmtId="5" fontId="17" fillId="0" borderId="0" xfId="0" applyNumberFormat="1" applyFont="1" applyBorder="1"/>
    <xf numFmtId="41" fontId="17" fillId="18" borderId="13" xfId="0" applyNumberFormat="1" applyFont="1" applyFill="1" applyBorder="1"/>
    <xf numFmtId="41" fontId="58" fillId="0" borderId="13" xfId="0" applyNumberFormat="1" applyFont="1" applyFill="1" applyBorder="1" applyProtection="1"/>
    <xf numFmtId="41" fontId="17" fillId="0" borderId="13" xfId="0" applyNumberFormat="1" applyFont="1" applyFill="1" applyBorder="1" applyProtection="1"/>
    <xf numFmtId="41" fontId="17" fillId="0" borderId="0" xfId="0" applyNumberFormat="1" applyFont="1" applyFill="1" applyBorder="1" applyProtection="1"/>
    <xf numFmtId="41" fontId="58" fillId="18" borderId="45" xfId="0" applyNumberFormat="1" applyFont="1" applyFill="1" applyBorder="1" applyProtection="1"/>
    <xf numFmtId="41" fontId="17" fillId="0" borderId="0" xfId="0" applyNumberFormat="1" applyFont="1" applyFill="1"/>
    <xf numFmtId="41" fontId="17" fillId="18" borderId="0" xfId="0" applyNumberFormat="1" applyFont="1" applyFill="1" applyBorder="1" applyProtection="1"/>
    <xf numFmtId="41" fontId="17" fillId="0" borderId="10" xfId="0" applyNumberFormat="1" applyFont="1" applyFill="1" applyBorder="1" applyProtection="1"/>
    <xf numFmtId="41" fontId="24" fillId="0" borderId="10" xfId="0" applyNumberFormat="1" applyFont="1" applyFill="1" applyBorder="1" applyProtection="1"/>
    <xf numFmtId="41" fontId="17" fillId="18" borderId="0" xfId="0" applyNumberFormat="1" applyFont="1" applyFill="1" applyAlignment="1"/>
    <xf numFmtId="41" fontId="17" fillId="18" borderId="10" xfId="0" applyNumberFormat="1" applyFont="1" applyFill="1" applyBorder="1" applyAlignment="1">
      <alignment horizontal="right"/>
    </xf>
    <xf numFmtId="41" fontId="17" fillId="0" borderId="13" xfId="0" applyNumberFormat="1" applyFont="1" applyFill="1" applyBorder="1"/>
    <xf numFmtId="9" fontId="17" fillId="19" borderId="19" xfId="43" applyFont="1" applyFill="1" applyBorder="1" applyAlignment="1">
      <alignment horizontal="left"/>
    </xf>
    <xf numFmtId="9" fontId="17" fillId="19" borderId="18" xfId="43" applyFont="1" applyFill="1" applyBorder="1" applyAlignment="1">
      <alignment horizontal="right"/>
    </xf>
    <xf numFmtId="0" fontId="17" fillId="0" borderId="11" xfId="0" applyFont="1" applyBorder="1" applyAlignment="1">
      <alignment horizontal="left"/>
    </xf>
    <xf numFmtId="173" fontId="16" fillId="0" borderId="18" xfId="28" applyNumberFormat="1" applyFont="1" applyFill="1" applyBorder="1"/>
    <xf numFmtId="0" fontId="29" fillId="0" borderId="30" xfId="0" applyFont="1" applyFill="1" applyBorder="1"/>
    <xf numFmtId="173" fontId="29" fillId="0" borderId="0" xfId="28" applyNumberFormat="1" applyFont="1" applyFill="1" applyBorder="1"/>
    <xf numFmtId="173" fontId="29" fillId="0" borderId="29" xfId="28" applyNumberFormat="1" applyFont="1" applyFill="1" applyBorder="1"/>
    <xf numFmtId="0" fontId="16" fillId="0" borderId="30" xfId="0" applyFont="1" applyFill="1" applyBorder="1"/>
    <xf numFmtId="0" fontId="17" fillId="0" borderId="30" xfId="0" applyFont="1" applyFill="1" applyBorder="1"/>
    <xf numFmtId="0" fontId="17" fillId="0" borderId="0" xfId="0" applyFont="1" applyFill="1" applyBorder="1" applyAlignment="1">
      <alignment horizontal="center"/>
    </xf>
    <xf numFmtId="173" fontId="17" fillId="0" borderId="0" xfId="28" applyNumberFormat="1" applyFont="1" applyFill="1" applyBorder="1"/>
    <xf numFmtId="0" fontId="29" fillId="0" borderId="3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173" fontId="29" fillId="0" borderId="29" xfId="0" applyNumberFormat="1" applyFont="1" applyFill="1" applyBorder="1"/>
    <xf numFmtId="173" fontId="17" fillId="0" borderId="17" xfId="28" applyNumberFormat="1" applyFont="1" applyFill="1" applyBorder="1"/>
    <xf numFmtId="0" fontId="17" fillId="0" borderId="29" xfId="0" applyFont="1" applyFill="1" applyBorder="1"/>
    <xf numFmtId="173" fontId="17" fillId="0" borderId="29" xfId="28" applyNumberFormat="1" applyFont="1" applyFill="1" applyBorder="1"/>
    <xf numFmtId="43" fontId="0" fillId="0" borderId="0" xfId="0" applyNumberFormat="1"/>
    <xf numFmtId="5" fontId="17" fillId="0" borderId="0" xfId="0" applyNumberFormat="1" applyFont="1" applyFill="1" applyProtection="1"/>
    <xf numFmtId="0" fontId="64" fillId="0" borderId="0" xfId="0" applyFont="1" applyAlignment="1" applyProtection="1">
      <alignment horizontal="left"/>
    </xf>
    <xf numFmtId="0" fontId="65" fillId="0" borderId="0" xfId="0" applyFont="1"/>
    <xf numFmtId="9" fontId="65" fillId="18" borderId="49" xfId="0" applyNumberFormat="1" applyFont="1" applyFill="1" applyBorder="1"/>
    <xf numFmtId="173" fontId="65" fillId="0" borderId="29" xfId="0" applyNumberFormat="1" applyFont="1" applyBorder="1"/>
    <xf numFmtId="0" fontId="65" fillId="0" borderId="16" xfId="0" applyFont="1" applyBorder="1"/>
    <xf numFmtId="0" fontId="17" fillId="0" borderId="0" xfId="0" applyFont="1"/>
    <xf numFmtId="10" fontId="17" fillId="0" borderId="0" xfId="0" applyNumberFormat="1" applyFont="1" applyFill="1" applyBorder="1" applyProtection="1"/>
    <xf numFmtId="10" fontId="17" fillId="0" borderId="0" xfId="0" applyNumberFormat="1" applyFont="1" applyBorder="1" applyProtection="1"/>
    <xf numFmtId="0" fontId="66" fillId="0" borderId="0" xfId="0" applyFont="1"/>
    <xf numFmtId="0" fontId="67" fillId="0" borderId="0" xfId="0" applyFont="1"/>
    <xf numFmtId="175" fontId="20" fillId="0" borderId="0" xfId="0" applyNumberFormat="1" applyFont="1"/>
    <xf numFmtId="0" fontId="68" fillId="0" borderId="0" xfId="0" applyFont="1" applyAlignment="1" applyProtection="1">
      <alignment horizontal="centerContinuous"/>
    </xf>
    <xf numFmtId="0" fontId="68" fillId="0" borderId="0" xfId="0" applyFont="1" applyAlignment="1" applyProtection="1">
      <alignment horizontal="left"/>
    </xf>
    <xf numFmtId="0" fontId="69" fillId="0" borderId="0" xfId="0" applyFont="1" applyAlignment="1" applyProtection="1">
      <alignment horizontal="left"/>
    </xf>
    <xf numFmtId="9" fontId="17" fillId="0" borderId="0" xfId="43" applyFont="1"/>
    <xf numFmtId="169" fontId="17" fillId="0" borderId="0" xfId="29" applyNumberFormat="1" applyFont="1" applyBorder="1"/>
    <xf numFmtId="10" fontId="70" fillId="0" borderId="12" xfId="0" applyNumberFormat="1" applyFont="1" applyFill="1" applyBorder="1" applyProtection="1"/>
    <xf numFmtId="0" fontId="71" fillId="0" borderId="10" xfId="0" applyFont="1" applyFill="1" applyBorder="1" applyProtection="1"/>
    <xf numFmtId="37" fontId="6" fillId="0" borderId="12" xfId="0" applyNumberFormat="1" applyFont="1" applyBorder="1" applyAlignment="1" applyProtection="1">
      <alignment horizontal="left" indent="1"/>
    </xf>
    <xf numFmtId="175" fontId="70" fillId="0" borderId="0" xfId="29" applyNumberFormat="1" applyFont="1" applyBorder="1" applyProtection="1"/>
    <xf numFmtId="43" fontId="10" fillId="0" borderId="0" xfId="0" applyNumberFormat="1" applyFont="1" applyProtection="1"/>
    <xf numFmtId="0" fontId="29" fillId="21" borderId="0" xfId="0" applyFont="1" applyFill="1" applyAlignment="1">
      <alignment horizontal="left"/>
    </xf>
    <xf numFmtId="0" fontId="20" fillId="21" borderId="0" xfId="0" applyFont="1" applyFill="1"/>
    <xf numFmtId="0" fontId="20" fillId="21" borderId="0" xfId="0" applyFont="1" applyFill="1" applyAlignment="1">
      <alignment horizontal="center"/>
    </xf>
    <xf numFmtId="5" fontId="3" fillId="0" borderId="0" xfId="0" applyNumberFormat="1" applyFont="1" applyAlignment="1" applyProtection="1">
      <protection locked="0"/>
    </xf>
    <xf numFmtId="37" fontId="17" fillId="0" borderId="0" xfId="0" applyNumberFormat="1" applyFont="1" applyFill="1" applyBorder="1" applyAlignment="1" applyProtection="1">
      <alignment horizontal="fill"/>
    </xf>
    <xf numFmtId="5" fontId="17" fillId="0" borderId="20" xfId="0" applyNumberFormat="1" applyFont="1" applyFill="1" applyBorder="1" applyProtection="1"/>
    <xf numFmtId="170" fontId="3" fillId="0" borderId="20" xfId="0" applyNumberFormat="1" applyFont="1" applyBorder="1" applyAlignment="1" applyProtection="1">
      <protection locked="0"/>
    </xf>
    <xf numFmtId="0" fontId="17" fillId="0" borderId="21" xfId="0" applyFont="1" applyFill="1" applyBorder="1" applyProtection="1"/>
    <xf numFmtId="5" fontId="3" fillId="0" borderId="21" xfId="0" applyNumberFormat="1" applyFont="1" applyBorder="1" applyAlignment="1" applyProtection="1">
      <protection locked="0"/>
    </xf>
    <xf numFmtId="0" fontId="17" fillId="0" borderId="0" xfId="0" applyFont="1" applyFill="1" applyProtection="1"/>
    <xf numFmtId="0" fontId="17" fillId="0" borderId="24" xfId="0" applyFont="1" applyFill="1" applyBorder="1" applyProtection="1"/>
    <xf numFmtId="5" fontId="3" fillId="0" borderId="24" xfId="0" applyNumberFormat="1" applyFont="1" applyBorder="1" applyAlignment="1" applyProtection="1">
      <protection locked="0"/>
    </xf>
    <xf numFmtId="37" fontId="17" fillId="0" borderId="0" xfId="0" applyNumberFormat="1" applyFont="1" applyFill="1" applyProtection="1"/>
    <xf numFmtId="5" fontId="17" fillId="0" borderId="0" xfId="0" applyNumberFormat="1" applyFont="1" applyFill="1" applyAlignment="1" applyProtection="1">
      <alignment horizontal="right"/>
    </xf>
    <xf numFmtId="3" fontId="72" fillId="0" borderId="0" xfId="0" applyNumberFormat="1" applyFont="1"/>
    <xf numFmtId="3" fontId="66" fillId="0" borderId="0" xfId="0" applyNumberFormat="1" applyFont="1"/>
    <xf numFmtId="0" fontId="66" fillId="0" borderId="0" xfId="0" applyFont="1" applyBorder="1"/>
    <xf numFmtId="37" fontId="20" fillId="0" borderId="0" xfId="0" applyNumberFormat="1" applyFont="1" applyAlignment="1">
      <alignment horizontal="center"/>
    </xf>
    <xf numFmtId="173" fontId="66" fillId="0" borderId="0" xfId="0" applyNumberFormat="1" applyFont="1"/>
    <xf numFmtId="170" fontId="17" fillId="0" borderId="0" xfId="0" applyNumberFormat="1" applyFont="1" applyProtection="1"/>
    <xf numFmtId="41" fontId="17" fillId="0" borderId="0" xfId="0" applyNumberFormat="1" applyFont="1" applyFill="1" applyAlignment="1" applyProtection="1">
      <alignment horizontal="right"/>
    </xf>
    <xf numFmtId="0" fontId="17" fillId="0" borderId="0" xfId="0" applyFont="1" applyAlignment="1">
      <alignment horizontal="center"/>
    </xf>
    <xf numFmtId="0" fontId="17" fillId="0" borderId="0" xfId="39" applyFont="1" applyFill="1" applyBorder="1" applyAlignment="1">
      <alignment horizontal="center"/>
    </xf>
    <xf numFmtId="10" fontId="17" fillId="18" borderId="12" xfId="0" applyNumberFormat="1" applyFont="1" applyFill="1" applyBorder="1" applyProtection="1"/>
    <xf numFmtId="0" fontId="11" fillId="0" borderId="10" xfId="0" applyFont="1" applyFill="1" applyBorder="1" applyProtection="1"/>
    <xf numFmtId="0" fontId="11" fillId="0" borderId="12" xfId="0" applyFont="1" applyFill="1" applyBorder="1" applyProtection="1"/>
    <xf numFmtId="0" fontId="10" fillId="0" borderId="0" xfId="0" applyFont="1" applyFill="1" applyAlignment="1" applyProtection="1">
      <alignment horizontal="right"/>
    </xf>
    <xf numFmtId="37" fontId="10" fillId="0" borderId="0" xfId="0" applyNumberFormat="1" applyFont="1" applyFill="1" applyAlignment="1" applyProtection="1">
      <alignment horizontal="right"/>
    </xf>
    <xf numFmtId="41" fontId="11" fillId="0" borderId="12" xfId="0" applyNumberFormat="1" applyFont="1" applyFill="1" applyBorder="1" applyProtection="1"/>
    <xf numFmtId="10" fontId="11" fillId="0" borderId="10" xfId="0" applyNumberFormat="1" applyFont="1" applyFill="1" applyBorder="1" applyProtection="1"/>
    <xf numFmtId="10" fontId="10" fillId="0" borderId="0" xfId="0" applyNumberFormat="1" applyFont="1" applyFill="1" applyProtection="1"/>
    <xf numFmtId="37" fontId="10" fillId="0" borderId="0" xfId="0" applyNumberFormat="1" applyFont="1" applyFill="1" applyProtection="1"/>
    <xf numFmtId="10" fontId="17" fillId="0" borderId="12" xfId="0" applyNumberFormat="1" applyFont="1" applyFill="1" applyBorder="1" applyProtection="1"/>
    <xf numFmtId="41" fontId="17" fillId="18" borderId="10" xfId="0" applyNumberFormat="1" applyFont="1" applyFill="1" applyBorder="1" applyProtection="1"/>
    <xf numFmtId="0" fontId="17" fillId="0" borderId="17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41" fontId="17" fillId="0" borderId="0" xfId="0" applyNumberFormat="1" applyFont="1"/>
    <xf numFmtId="3" fontId="17" fillId="18" borderId="34" xfId="0" applyNumberFormat="1" applyFont="1" applyFill="1" applyBorder="1"/>
    <xf numFmtId="0" fontId="17" fillId="0" borderId="13" xfId="0" applyFont="1" applyBorder="1"/>
    <xf numFmtId="0" fontId="17" fillId="0" borderId="0" xfId="0" applyFont="1" applyFill="1" applyBorder="1" applyAlignment="1" applyProtection="1">
      <alignment horizontal="left"/>
    </xf>
    <xf numFmtId="9" fontId="17" fillId="18" borderId="26" xfId="0" applyNumberFormat="1" applyFont="1" applyFill="1" applyBorder="1" applyAlignment="1">
      <alignment horizontal="center"/>
    </xf>
    <xf numFmtId="3" fontId="40" fillId="0" borderId="17" xfId="0" applyNumberFormat="1" applyFont="1" applyFill="1" applyBorder="1" applyAlignment="1">
      <alignment horizontal="center"/>
    </xf>
    <xf numFmtId="3" fontId="31" fillId="18" borderId="26" xfId="0" applyNumberFormat="1" applyFont="1" applyFill="1" applyBorder="1" applyAlignment="1">
      <alignment horizontal="center"/>
    </xf>
    <xf numFmtId="0" fontId="31" fillId="0" borderId="0" xfId="0" applyFont="1" applyFill="1" applyBorder="1" applyAlignment="1" applyProtection="1">
      <alignment horizontal="left"/>
    </xf>
    <xf numFmtId="9" fontId="31" fillId="18" borderId="26" xfId="0" applyNumberFormat="1" applyFont="1" applyFill="1" applyBorder="1" applyAlignment="1">
      <alignment horizontal="center"/>
    </xf>
    <xf numFmtId="3" fontId="73" fillId="0" borderId="17" xfId="0" applyNumberFormat="1" applyFont="1" applyFill="1" applyBorder="1" applyAlignment="1">
      <alignment horizontal="center"/>
    </xf>
    <xf numFmtId="0" fontId="17" fillId="0" borderId="0" xfId="0" applyFont="1" applyAlignment="1" applyProtection="1">
      <alignment horizontal="right"/>
    </xf>
    <xf numFmtId="37" fontId="17" fillId="18" borderId="26" xfId="0" applyNumberFormat="1" applyFont="1" applyFill="1" applyBorder="1" applyAlignment="1" applyProtection="1">
      <alignment horizontal="right"/>
    </xf>
    <xf numFmtId="0" fontId="17" fillId="0" borderId="0" xfId="0" applyFont="1" applyProtection="1"/>
    <xf numFmtId="0" fontId="17" fillId="0" borderId="10" xfId="0" applyFont="1" applyBorder="1"/>
    <xf numFmtId="0" fontId="17" fillId="0" borderId="0" xfId="0" applyFont="1" applyAlignment="1">
      <alignment horizontal="right"/>
    </xf>
    <xf numFmtId="0" fontId="17" fillId="0" borderId="20" xfId="0" applyFont="1" applyBorder="1" applyAlignment="1" applyProtection="1">
      <alignment horizontal="right"/>
    </xf>
    <xf numFmtId="169" fontId="17" fillId="0" borderId="20" xfId="29" applyNumberFormat="1" applyFont="1" applyBorder="1" applyAlignment="1" applyProtection="1">
      <alignment horizontal="right"/>
    </xf>
    <xf numFmtId="0" fontId="17" fillId="0" borderId="20" xfId="0" applyFont="1" applyBorder="1" applyProtection="1"/>
    <xf numFmtId="0" fontId="17" fillId="0" borderId="15" xfId="0" applyFont="1" applyBorder="1" applyProtection="1"/>
    <xf numFmtId="0" fontId="17" fillId="0" borderId="24" xfId="0" applyFont="1" applyBorder="1" applyProtection="1"/>
    <xf numFmtId="0" fontId="17" fillId="0" borderId="28" xfId="0" applyFont="1" applyBorder="1" applyAlignment="1" applyProtection="1">
      <alignment horizontal="center"/>
    </xf>
    <xf numFmtId="0" fontId="17" fillId="0" borderId="29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168" fontId="17" fillId="18" borderId="26" xfId="0" applyNumberFormat="1" applyFont="1" applyFill="1" applyBorder="1" applyProtection="1"/>
    <xf numFmtId="168" fontId="17" fillId="18" borderId="27" xfId="0" applyNumberFormat="1" applyFont="1" applyFill="1" applyBorder="1" applyProtection="1"/>
    <xf numFmtId="0" fontId="17" fillId="0" borderId="30" xfId="0" applyFont="1" applyBorder="1" applyAlignment="1" applyProtection="1">
      <alignment horizontal="center"/>
    </xf>
    <xf numFmtId="170" fontId="17" fillId="0" borderId="20" xfId="0" applyNumberFormat="1" applyFont="1" applyFill="1" applyBorder="1"/>
    <xf numFmtId="5" fontId="17" fillId="0" borderId="0" xfId="0" applyNumberFormat="1" applyFont="1" applyBorder="1" applyProtection="1"/>
    <xf numFmtId="37" fontId="17" fillId="0" borderId="12" xfId="0" applyNumberFormat="1" applyFont="1" applyFill="1" applyBorder="1" applyAlignment="1" applyProtection="1">
      <alignment horizontal="left" indent="1"/>
    </xf>
    <xf numFmtId="5" fontId="17" fillId="0" borderId="10" xfId="0" applyNumberFormat="1" applyFont="1" applyFill="1" applyBorder="1" applyProtection="1"/>
    <xf numFmtId="0" fontId="17" fillId="0" borderId="12" xfId="0" applyFont="1" applyBorder="1" applyProtection="1"/>
    <xf numFmtId="0" fontId="17" fillId="0" borderId="12" xfId="0" applyFont="1" applyBorder="1" applyAlignment="1" applyProtection="1">
      <alignment horizontal="right"/>
    </xf>
    <xf numFmtId="0" fontId="17" fillId="0" borderId="13" xfId="0" applyFont="1" applyBorder="1" applyProtection="1"/>
    <xf numFmtId="0" fontId="17" fillId="0" borderId="13" xfId="0" applyFont="1" applyFill="1" applyBorder="1" applyProtection="1"/>
    <xf numFmtId="175" fontId="6" fillId="0" borderId="0" xfId="0" applyNumberFormat="1" applyFont="1" applyProtection="1"/>
    <xf numFmtId="39" fontId="31" fillId="0" borderId="0" xfId="0" applyNumberFormat="1" applyFont="1" applyProtection="1"/>
    <xf numFmtId="5" fontId="31" fillId="0" borderId="10" xfId="0" applyNumberFormat="1" applyFont="1" applyBorder="1" applyProtection="1"/>
    <xf numFmtId="37" fontId="6" fillId="0" borderId="20" xfId="0" applyNumberFormat="1" applyFont="1" applyBorder="1" applyProtection="1"/>
    <xf numFmtId="9" fontId="6" fillId="18" borderId="26" xfId="0" applyNumberFormat="1" applyFont="1" applyFill="1" applyBorder="1" applyProtection="1"/>
    <xf numFmtId="0" fontId="6" fillId="0" borderId="13" xfId="0" applyFont="1" applyBorder="1" applyProtection="1"/>
    <xf numFmtId="0" fontId="17" fillId="0" borderId="0" xfId="0" applyFont="1" applyBorder="1" applyAlignment="1">
      <alignment horizontal="right"/>
    </xf>
    <xf numFmtId="0" fontId="70" fillId="0" borderId="0" xfId="0" applyFont="1" applyFill="1"/>
    <xf numFmtId="0" fontId="74" fillId="0" borderId="0" xfId="0" applyFont="1" applyFill="1"/>
    <xf numFmtId="3" fontId="74" fillId="0" borderId="0" xfId="0" applyNumberFormat="1" applyFont="1" applyFill="1"/>
    <xf numFmtId="3" fontId="70" fillId="0" borderId="0" xfId="0" applyNumberFormat="1" applyFont="1" applyFill="1"/>
    <xf numFmtId="10" fontId="70" fillId="0" borderId="0" xfId="0" applyNumberFormat="1" applyFont="1"/>
    <xf numFmtId="5" fontId="70" fillId="0" borderId="0" xfId="0" applyNumberFormat="1" applyFont="1"/>
    <xf numFmtId="7" fontId="70" fillId="0" borderId="0" xfId="0" applyNumberFormat="1" applyFont="1"/>
    <xf numFmtId="0" fontId="70" fillId="0" borderId="0" xfId="0" applyFont="1"/>
    <xf numFmtId="10" fontId="70" fillId="0" borderId="0" xfId="43" applyNumberFormat="1" applyFont="1"/>
    <xf numFmtId="0" fontId="17" fillId="0" borderId="0" xfId="0" applyFont="1" applyFill="1"/>
    <xf numFmtId="5" fontId="3" fillId="0" borderId="0" xfId="0" applyNumberFormat="1" applyFont="1" applyProtection="1"/>
    <xf numFmtId="173" fontId="17" fillId="0" borderId="0" xfId="28" applyNumberFormat="1" applyFont="1" applyFill="1"/>
    <xf numFmtId="10" fontId="17" fillId="0" borderId="0" xfId="43" applyNumberFormat="1" applyFont="1" applyFill="1" applyProtection="1"/>
    <xf numFmtId="43" fontId="31" fillId="0" borderId="0" xfId="0" applyNumberFormat="1" applyFont="1" applyFill="1" applyProtection="1"/>
    <xf numFmtId="173" fontId="17" fillId="0" borderId="0" xfId="0" applyNumberFormat="1" applyFont="1" applyFill="1"/>
    <xf numFmtId="0" fontId="17" fillId="0" borderId="0" xfId="0" applyFont="1" applyFill="1" applyBorder="1" applyProtection="1"/>
    <xf numFmtId="0" fontId="17" fillId="0" borderId="0" xfId="0" applyFont="1" applyFill="1" applyBorder="1"/>
    <xf numFmtId="5" fontId="17" fillId="0" borderId="0" xfId="0" applyNumberFormat="1" applyFont="1" applyFill="1" applyBorder="1" applyProtection="1"/>
    <xf numFmtId="0" fontId="17" fillId="0" borderId="0" xfId="0" quotePrefix="1" applyFont="1" applyFill="1" applyBorder="1" applyProtection="1"/>
    <xf numFmtId="170" fontId="17" fillId="0" borderId="0" xfId="0" applyNumberFormat="1" applyFont="1" applyFill="1" applyBorder="1" applyProtection="1"/>
    <xf numFmtId="170" fontId="3" fillId="0" borderId="0" xfId="0" applyNumberFormat="1" applyFont="1" applyFill="1" applyBorder="1" applyProtection="1"/>
    <xf numFmtId="0" fontId="3" fillId="0" borderId="0" xfId="0" applyFont="1" applyFill="1" applyBorder="1" applyAlignment="1" applyProtection="1"/>
    <xf numFmtId="0" fontId="3" fillId="0" borderId="0" xfId="0" applyFont="1" applyFill="1" applyBorder="1" applyProtection="1"/>
    <xf numFmtId="0" fontId="3" fillId="0" borderId="0" xfId="0" applyFont="1" applyFill="1" applyBorder="1"/>
    <xf numFmtId="10" fontId="3" fillId="0" borderId="0" xfId="0" applyNumberFormat="1" applyFont="1" applyFill="1" applyBorder="1" applyProtection="1"/>
    <xf numFmtId="5" fontId="16" fillId="0" borderId="0" xfId="0" applyNumberFormat="1" applyFont="1" applyFill="1" applyBorder="1" applyProtection="1"/>
    <xf numFmtId="168" fontId="17" fillId="0" borderId="0" xfId="43" applyNumberFormat="1" applyFont="1" applyFill="1" applyProtection="1"/>
    <xf numFmtId="170" fontId="17" fillId="0" borderId="0" xfId="0" applyNumberFormat="1" applyFont="1" applyFill="1" applyBorder="1"/>
    <xf numFmtId="41" fontId="17" fillId="0" borderId="0" xfId="0" applyNumberFormat="1" applyFont="1" applyFill="1" applyProtection="1"/>
    <xf numFmtId="168" fontId="3" fillId="0" borderId="10" xfId="0" applyNumberFormat="1" applyFont="1" applyBorder="1" applyProtection="1"/>
    <xf numFmtId="7" fontId="3" fillId="0" borderId="10" xfId="0" applyNumberFormat="1" applyFont="1" applyBorder="1" applyProtection="1"/>
    <xf numFmtId="0" fontId="3" fillId="0" borderId="10" xfId="0" applyFont="1" applyBorder="1" applyProtection="1"/>
    <xf numFmtId="5" fontId="6" fillId="0" borderId="0" xfId="0" applyNumberFormat="1" applyFont="1" applyFill="1" applyBorder="1" applyProtection="1"/>
    <xf numFmtId="5" fontId="17" fillId="0" borderId="14" xfId="0" applyNumberFormat="1" applyFont="1" applyBorder="1" applyProtection="1"/>
    <xf numFmtId="5" fontId="3" fillId="0" borderId="15" xfId="0" quotePrefix="1" applyNumberFormat="1" applyFont="1" applyBorder="1" applyProtection="1"/>
    <xf numFmtId="0" fontId="3" fillId="0" borderId="0" xfId="0" applyFont="1" applyFill="1" applyAlignment="1">
      <alignment horizontal="right"/>
    </xf>
    <xf numFmtId="0" fontId="16" fillId="21" borderId="0" xfId="39" applyFont="1" applyFill="1" applyBorder="1" applyAlignment="1">
      <alignment horizontal="left"/>
    </xf>
    <xf numFmtId="0" fontId="0" fillId="21" borderId="0" xfId="0" applyFill="1"/>
    <xf numFmtId="3" fontId="72" fillId="21" borderId="0" xfId="0" applyNumberFormat="1" applyFont="1" applyFill="1" applyAlignment="1"/>
    <xf numFmtId="176" fontId="20" fillId="0" borderId="0" xfId="0" applyNumberFormat="1" applyFont="1"/>
    <xf numFmtId="0" fontId="66" fillId="18" borderId="26" xfId="0" applyFont="1" applyFill="1" applyBorder="1"/>
    <xf numFmtId="0" fontId="26" fillId="0" borderId="44" xfId="0" applyFont="1" applyBorder="1" applyAlignment="1" applyProtection="1">
      <alignment horizontal="left"/>
    </xf>
    <xf numFmtId="43" fontId="17" fillId="0" borderId="0" xfId="0" applyNumberFormat="1" applyFont="1" applyFill="1" applyProtection="1"/>
    <xf numFmtId="0" fontId="20" fillId="21" borderId="10" xfId="0" applyFont="1" applyFill="1" applyBorder="1" applyAlignment="1">
      <alignment horizontal="center"/>
    </xf>
    <xf numFmtId="0" fontId="66" fillId="18" borderId="31" xfId="0" applyFont="1" applyFill="1" applyBorder="1"/>
    <xf numFmtId="0" fontId="34" fillId="0" borderId="13" xfId="0" applyFont="1" applyBorder="1" applyProtection="1"/>
    <xf numFmtId="0" fontId="17" fillId="0" borderId="12" xfId="0" applyFont="1" applyFill="1" applyBorder="1" applyProtection="1"/>
    <xf numFmtId="0" fontId="17" fillId="0" borderId="10" xfId="0" applyFont="1" applyFill="1" applyBorder="1" applyProtection="1"/>
    <xf numFmtId="0" fontId="75" fillId="0" borderId="13" xfId="0" applyFont="1" applyBorder="1" applyProtection="1"/>
    <xf numFmtId="0" fontId="24" fillId="0" borderId="12" xfId="0" applyFont="1" applyBorder="1" applyProtection="1"/>
    <xf numFmtId="0" fontId="24" fillId="0" borderId="0" xfId="0" applyFont="1" applyBorder="1" applyProtection="1"/>
    <xf numFmtId="41" fontId="17" fillId="0" borderId="13" xfId="0" applyNumberFormat="1" applyFont="1" applyBorder="1" applyProtection="1"/>
    <xf numFmtId="0" fontId="17" fillId="0" borderId="13" xfId="0" applyFont="1" applyBorder="1" applyAlignment="1" applyProtection="1">
      <alignment horizontal="left" indent="1"/>
    </xf>
    <xf numFmtId="3" fontId="17" fillId="0" borderId="12" xfId="28" applyNumberFormat="1" applyFont="1" applyBorder="1" applyProtection="1"/>
    <xf numFmtId="41" fontId="17" fillId="21" borderId="13" xfId="0" applyNumberFormat="1" applyFont="1" applyFill="1" applyBorder="1"/>
    <xf numFmtId="0" fontId="17" fillId="0" borderId="0" xfId="0" applyFont="1" applyAlignment="1">
      <alignment horizontal="left" indent="1"/>
    </xf>
    <xf numFmtId="3" fontId="17" fillId="0" borderId="12" xfId="0" applyNumberFormat="1" applyFont="1" applyBorder="1" applyProtection="1"/>
    <xf numFmtId="0" fontId="17" fillId="0" borderId="0" xfId="0" applyFont="1" applyBorder="1" applyProtection="1"/>
    <xf numFmtId="10" fontId="17" fillId="0" borderId="10" xfId="0" applyNumberFormat="1" applyFont="1" applyBorder="1" applyProtection="1"/>
    <xf numFmtId="0" fontId="29" fillId="0" borderId="13" xfId="0" applyFont="1" applyBorder="1" applyAlignment="1" applyProtection="1">
      <alignment horizontal="right"/>
    </xf>
    <xf numFmtId="0" fontId="24" fillId="0" borderId="10" xfId="0" applyFont="1" applyBorder="1" applyProtection="1"/>
    <xf numFmtId="0" fontId="31" fillId="0" borderId="13" xfId="0" applyFont="1" applyBorder="1" applyProtection="1"/>
    <xf numFmtId="3" fontId="17" fillId="0" borderId="10" xfId="0" applyNumberFormat="1" applyFont="1" applyBorder="1" applyProtection="1"/>
    <xf numFmtId="10" fontId="17" fillId="0" borderId="12" xfId="43" applyNumberFormat="1" applyFont="1" applyBorder="1" applyProtection="1"/>
    <xf numFmtId="10" fontId="17" fillId="0" borderId="12" xfId="0" applyNumberFormat="1" applyFont="1" applyBorder="1" applyProtection="1"/>
    <xf numFmtId="0" fontId="66" fillId="0" borderId="10" xfId="0" applyFont="1" applyBorder="1" applyProtection="1"/>
    <xf numFmtId="5" fontId="0" fillId="0" borderId="0" xfId="0" applyNumberFormat="1" applyBorder="1"/>
    <xf numFmtId="173" fontId="66" fillId="0" borderId="12" xfId="28" applyNumberFormat="1" applyFont="1" applyBorder="1" applyProtection="1"/>
    <xf numFmtId="173" fontId="66" fillId="0" borderId="10" xfId="28" applyNumberFormat="1" applyFont="1" applyBorder="1" applyProtection="1"/>
    <xf numFmtId="0" fontId="66" fillId="0" borderId="12" xfId="0" applyFont="1" applyBorder="1" applyProtection="1"/>
    <xf numFmtId="0" fontId="76" fillId="0" borderId="12" xfId="0" applyFont="1" applyBorder="1" applyProtection="1"/>
    <xf numFmtId="5" fontId="17" fillId="0" borderId="10" xfId="0" quotePrefix="1" applyNumberFormat="1" applyFont="1" applyBorder="1" applyProtection="1"/>
    <xf numFmtId="175" fontId="17" fillId="0" borderId="0" xfId="0" applyNumberFormat="1" applyFont="1" applyFill="1"/>
    <xf numFmtId="37" fontId="0" fillId="0" borderId="0" xfId="0" applyNumberFormat="1"/>
    <xf numFmtId="41" fontId="66" fillId="0" borderId="10" xfId="0" applyNumberFormat="1" applyFont="1" applyBorder="1" applyProtection="1"/>
    <xf numFmtId="9" fontId="66" fillId="0" borderId="0" xfId="43" applyFont="1" applyBorder="1"/>
    <xf numFmtId="0" fontId="5" fillId="0" borderId="0" xfId="50" applyFont="1" applyProtection="1"/>
    <xf numFmtId="0" fontId="17" fillId="0" borderId="0" xfId="50" applyFont="1"/>
    <xf numFmtId="0" fontId="9" fillId="0" borderId="0" xfId="50" applyFont="1" applyProtection="1"/>
    <xf numFmtId="170" fontId="17" fillId="0" borderId="0" xfId="50" applyNumberFormat="1" applyFont="1"/>
    <xf numFmtId="0" fontId="5" fillId="0" borderId="0" xfId="50" applyFont="1" applyAlignment="1" applyProtection="1">
      <alignment horizontal="left"/>
    </xf>
    <xf numFmtId="10" fontId="17" fillId="0" borderId="0" xfId="51" applyNumberFormat="1" applyFont="1"/>
    <xf numFmtId="6" fontId="17" fillId="0" borderId="0" xfId="50" applyNumberFormat="1" applyFont="1"/>
    <xf numFmtId="170" fontId="22" fillId="0" borderId="0" xfId="50" applyNumberFormat="1" applyFont="1" applyAlignment="1" applyProtection="1">
      <alignment horizontal="centerContinuous"/>
    </xf>
    <xf numFmtId="170" fontId="6" fillId="0" borderId="0" xfId="50" applyNumberFormat="1" applyFont="1" applyAlignment="1" applyProtection="1">
      <alignment horizontal="centerContinuous"/>
    </xf>
    <xf numFmtId="37" fontId="17" fillId="0" borderId="0" xfId="50" applyNumberFormat="1" applyFont="1"/>
    <xf numFmtId="0" fontId="6" fillId="0" borderId="0" xfId="50" applyFont="1" applyProtection="1"/>
    <xf numFmtId="170" fontId="6" fillId="0" borderId="0" xfId="50" applyNumberFormat="1" applyFont="1" applyAlignment="1" applyProtection="1">
      <alignment horizontal="center"/>
    </xf>
    <xf numFmtId="173" fontId="17" fillId="0" borderId="0" xfId="52" applyNumberFormat="1" applyFont="1"/>
    <xf numFmtId="0" fontId="27" fillId="0" borderId="31" xfId="50" applyFont="1" applyBorder="1" applyProtection="1"/>
    <xf numFmtId="0" fontId="8" fillId="0" borderId="18" xfId="50" applyFont="1" applyBorder="1" applyProtection="1"/>
    <xf numFmtId="0" fontId="8" fillId="0" borderId="11" xfId="50" applyFont="1" applyBorder="1" applyProtection="1"/>
    <xf numFmtId="41" fontId="72" fillId="18" borderId="31" xfId="50" applyNumberFormat="1" applyFont="1" applyFill="1" applyBorder="1" applyProtection="1"/>
    <xf numFmtId="43" fontId="11" fillId="0" borderId="19" xfId="50" applyNumberFormat="1" applyFont="1" applyBorder="1" applyProtection="1"/>
    <xf numFmtId="0" fontId="11" fillId="0" borderId="11" xfId="50" applyFont="1" applyBorder="1" applyProtection="1"/>
    <xf numFmtId="0" fontId="8" fillId="0" borderId="13" xfId="50" applyFont="1" applyBorder="1" applyProtection="1"/>
    <xf numFmtId="0" fontId="6" fillId="0" borderId="12" xfId="50" applyFont="1" applyFill="1" applyBorder="1" applyProtection="1"/>
    <xf numFmtId="0" fontId="6" fillId="0" borderId="10" xfId="50" applyFont="1" applyFill="1" applyBorder="1" applyProtection="1"/>
    <xf numFmtId="41" fontId="6" fillId="0" borderId="13" xfId="50" applyNumberFormat="1" applyFont="1" applyFill="1" applyBorder="1" applyProtection="1"/>
    <xf numFmtId="0" fontId="6" fillId="0" borderId="12" xfId="50" applyFont="1" applyBorder="1" applyProtection="1"/>
    <xf numFmtId="0" fontId="6" fillId="0" borderId="10" xfId="50" applyFont="1" applyBorder="1" applyProtection="1"/>
    <xf numFmtId="0" fontId="6" fillId="0" borderId="0" xfId="50" applyFont="1" applyFill="1" applyProtection="1"/>
    <xf numFmtId="3" fontId="17" fillId="0" borderId="0" xfId="50" applyNumberFormat="1" applyFont="1"/>
    <xf numFmtId="9" fontId="17" fillId="0" borderId="0" xfId="51" applyFont="1"/>
    <xf numFmtId="0" fontId="6" fillId="0" borderId="13" xfId="50" applyFont="1" applyBorder="1" applyProtection="1"/>
    <xf numFmtId="7" fontId="79" fillId="0" borderId="0" xfId="50" applyNumberFormat="1" applyFont="1" applyBorder="1" applyAlignment="1" applyProtection="1"/>
    <xf numFmtId="173" fontId="6" fillId="0" borderId="0" xfId="52" applyNumberFormat="1" applyFont="1" applyFill="1" applyProtection="1"/>
    <xf numFmtId="5" fontId="6" fillId="0" borderId="0" xfId="50" applyNumberFormat="1" applyFont="1" applyBorder="1" applyProtection="1"/>
    <xf numFmtId="5" fontId="79" fillId="0" borderId="0" xfId="50" applyNumberFormat="1" applyFont="1" applyBorder="1" applyAlignment="1" applyProtection="1"/>
    <xf numFmtId="0" fontId="17" fillId="0" borderId="0" xfId="50" applyFont="1" applyFill="1" applyBorder="1"/>
    <xf numFmtId="0" fontId="27" fillId="0" borderId="13" xfId="50" applyFont="1" applyBorder="1" applyProtection="1"/>
    <xf numFmtId="0" fontId="18" fillId="0" borderId="12" xfId="50" applyFont="1" applyBorder="1" applyProtection="1"/>
    <xf numFmtId="0" fontId="18" fillId="0" borderId="10" xfId="50" applyFont="1" applyBorder="1" applyProtection="1"/>
    <xf numFmtId="0" fontId="17" fillId="0" borderId="0" xfId="50" applyFont="1" applyFill="1"/>
    <xf numFmtId="0" fontId="25" fillId="0" borderId="13" xfId="50" applyFont="1" applyBorder="1" applyProtection="1"/>
    <xf numFmtId="41" fontId="6" fillId="0" borderId="0" xfId="50" applyNumberFormat="1" applyFont="1" applyFill="1" applyBorder="1" applyProtection="1"/>
    <xf numFmtId="41" fontId="17" fillId="18" borderId="0" xfId="50" applyNumberFormat="1" applyFont="1" applyFill="1"/>
    <xf numFmtId="0" fontId="11" fillId="0" borderId="12" xfId="50" applyFont="1" applyBorder="1" applyProtection="1"/>
    <xf numFmtId="3" fontId="6" fillId="0" borderId="10" xfId="50" applyNumberFormat="1" applyFont="1" applyBorder="1" applyProtection="1"/>
    <xf numFmtId="41" fontId="80" fillId="18" borderId="0" xfId="50" applyNumberFormat="1" applyFont="1" applyFill="1"/>
    <xf numFmtId="173" fontId="6" fillId="0" borderId="12" xfId="50" applyNumberFormat="1" applyFont="1" applyBorder="1" applyProtection="1"/>
    <xf numFmtId="41" fontId="80" fillId="0" borderId="0" xfId="50" applyNumberFormat="1" applyFont="1"/>
    <xf numFmtId="5" fontId="6" fillId="0" borderId="0" xfId="50" applyNumberFormat="1" applyFont="1" applyProtection="1"/>
    <xf numFmtId="37" fontId="6" fillId="0" borderId="0" xfId="50" applyNumberFormat="1" applyFont="1" applyProtection="1"/>
    <xf numFmtId="0" fontId="80" fillId="0" borderId="0" xfId="50" applyFont="1"/>
    <xf numFmtId="10" fontId="17" fillId="18" borderId="12" xfId="50" applyNumberFormat="1" applyFont="1" applyFill="1" applyBorder="1" applyProtection="1"/>
    <xf numFmtId="0" fontId="11" fillId="0" borderId="10" xfId="50" applyFont="1" applyBorder="1" applyProtection="1"/>
    <xf numFmtId="0" fontId="76" fillId="0" borderId="12" xfId="50" applyFont="1" applyBorder="1" applyProtection="1"/>
    <xf numFmtId="10" fontId="6" fillId="0" borderId="12" xfId="50" applyNumberFormat="1" applyFont="1" applyBorder="1" applyProtection="1"/>
    <xf numFmtId="0" fontId="6" fillId="0" borderId="13" xfId="50" applyFont="1" applyFill="1" applyBorder="1" applyProtection="1"/>
    <xf numFmtId="41" fontId="81" fillId="18" borderId="45" xfId="50" applyNumberFormat="1" applyFont="1" applyFill="1" applyBorder="1" applyProtection="1"/>
    <xf numFmtId="168" fontId="6" fillId="0" borderId="0" xfId="50" applyNumberFormat="1" applyFont="1" applyProtection="1"/>
    <xf numFmtId="9" fontId="6" fillId="0" borderId="0" xfId="50" applyNumberFormat="1" applyFont="1" applyProtection="1"/>
    <xf numFmtId="10" fontId="6" fillId="0" borderId="0" xfId="50" applyNumberFormat="1" applyFont="1" applyProtection="1"/>
    <xf numFmtId="39" fontId="6" fillId="0" borderId="0" xfId="50" applyNumberFormat="1" applyFont="1" applyAlignment="1" applyProtection="1">
      <alignment horizontal="center"/>
    </xf>
    <xf numFmtId="0" fontId="28" fillId="0" borderId="13" xfId="50" applyFont="1" applyBorder="1" applyAlignment="1" applyProtection="1">
      <alignment horizontal="right"/>
    </xf>
    <xf numFmtId="0" fontId="8" fillId="0" borderId="12" xfId="50" applyFont="1" applyBorder="1" applyProtection="1"/>
    <xf numFmtId="0" fontId="8" fillId="0" borderId="10" xfId="50" applyFont="1" applyBorder="1" applyProtection="1"/>
    <xf numFmtId="170" fontId="5" fillId="0" borderId="13" xfId="50" applyNumberFormat="1" applyFont="1" applyFill="1" applyBorder="1" applyProtection="1"/>
    <xf numFmtId="43" fontId="6" fillId="0" borderId="12" xfId="50" applyNumberFormat="1" applyFont="1" applyBorder="1" applyProtection="1"/>
    <xf numFmtId="5" fontId="19" fillId="0" borderId="12" xfId="50" applyNumberFormat="1" applyFont="1" applyBorder="1" applyProtection="1"/>
    <xf numFmtId="0" fontId="28" fillId="0" borderId="13" xfId="50" applyFont="1" applyBorder="1" applyProtection="1"/>
    <xf numFmtId="41" fontId="17" fillId="0" borderId="0" xfId="50" applyNumberFormat="1" applyFont="1" applyFill="1"/>
    <xf numFmtId="0" fontId="17" fillId="0" borderId="0" xfId="50" applyFont="1" applyProtection="1"/>
    <xf numFmtId="0" fontId="6" fillId="0" borderId="0" xfId="50" applyFont="1" applyAlignment="1" applyProtection="1">
      <alignment horizontal="right"/>
    </xf>
    <xf numFmtId="37" fontId="6" fillId="0" borderId="0" xfId="50" applyNumberFormat="1" applyFont="1" applyAlignment="1" applyProtection="1">
      <alignment horizontal="right"/>
    </xf>
    <xf numFmtId="41" fontId="11" fillId="0" borderId="12" xfId="50" applyNumberFormat="1" applyFont="1" applyBorder="1" applyProtection="1"/>
    <xf numFmtId="10" fontId="11" fillId="0" borderId="10" xfId="50" applyNumberFormat="1" applyFont="1" applyBorder="1" applyProtection="1"/>
    <xf numFmtId="7" fontId="6" fillId="0" borderId="0" xfId="50" applyNumberFormat="1" applyFont="1" applyProtection="1"/>
    <xf numFmtId="41" fontId="5" fillId="0" borderId="13" xfId="50" applyNumberFormat="1" applyFont="1" applyFill="1" applyBorder="1" applyProtection="1"/>
    <xf numFmtId="0" fontId="17" fillId="0" borderId="13" xfId="50" applyFont="1" applyBorder="1"/>
    <xf numFmtId="2" fontId="6" fillId="0" borderId="12" xfId="50" applyNumberFormat="1" applyFont="1" applyBorder="1" applyProtection="1"/>
    <xf numFmtId="41" fontId="6" fillId="0" borderId="10" xfId="50" applyNumberFormat="1" applyFont="1" applyFill="1" applyBorder="1" applyProtection="1"/>
    <xf numFmtId="41" fontId="24" fillId="0" borderId="10" xfId="50" applyNumberFormat="1" applyFont="1" applyFill="1" applyBorder="1" applyProtection="1"/>
    <xf numFmtId="10" fontId="6" fillId="0" borderId="10" xfId="50" applyNumberFormat="1" applyFont="1" applyBorder="1" applyProtection="1"/>
    <xf numFmtId="5" fontId="80" fillId="0" borderId="0" xfId="50" applyNumberFormat="1" applyFont="1" applyFill="1"/>
    <xf numFmtId="41" fontId="17" fillId="18" borderId="0" xfId="50" applyNumberFormat="1" applyFont="1" applyFill="1" applyAlignment="1"/>
    <xf numFmtId="41" fontId="6" fillId="18" borderId="10" xfId="50" applyNumberFormat="1" applyFont="1" applyFill="1" applyBorder="1" applyProtection="1"/>
    <xf numFmtId="168" fontId="6" fillId="0" borderId="12" xfId="51" applyNumberFormat="1" applyFont="1" applyBorder="1" applyProtection="1"/>
    <xf numFmtId="173" fontId="6" fillId="0" borderId="12" xfId="52" applyNumberFormat="1" applyFont="1" applyBorder="1" applyProtection="1"/>
    <xf numFmtId="173" fontId="6" fillId="0" borderId="10" xfId="52" applyNumberFormat="1" applyFont="1" applyBorder="1" applyProtection="1"/>
    <xf numFmtId="41" fontId="17" fillId="18" borderId="10" xfId="50" applyNumberFormat="1" applyFont="1" applyFill="1" applyBorder="1"/>
    <xf numFmtId="0" fontId="16" fillId="0" borderId="0" xfId="50" applyFont="1" applyAlignment="1">
      <alignment horizontal="right"/>
    </xf>
    <xf numFmtId="0" fontId="16" fillId="0" borderId="10" xfId="50" applyFont="1" applyBorder="1" applyAlignment="1">
      <alignment horizontal="right"/>
    </xf>
    <xf numFmtId="41" fontId="17" fillId="18" borderId="10" xfId="50" applyNumberFormat="1" applyFont="1" applyFill="1" applyBorder="1" applyAlignment="1">
      <alignment horizontal="right"/>
    </xf>
    <xf numFmtId="5" fontId="16" fillId="0" borderId="0" xfId="50" applyNumberFormat="1" applyFont="1" applyFill="1" applyBorder="1" applyAlignment="1">
      <alignment horizontal="right"/>
    </xf>
    <xf numFmtId="5" fontId="16" fillId="0" borderId="10" xfId="50" applyNumberFormat="1" applyFont="1" applyFill="1" applyBorder="1" applyAlignment="1">
      <alignment horizontal="right"/>
    </xf>
    <xf numFmtId="41" fontId="17" fillId="0" borderId="12" xfId="50" applyNumberFormat="1" applyFont="1" applyFill="1" applyBorder="1"/>
    <xf numFmtId="5" fontId="16" fillId="0" borderId="13" xfId="50" applyNumberFormat="1" applyFont="1" applyFill="1" applyBorder="1" applyAlignment="1">
      <alignment horizontal="right"/>
    </xf>
    <xf numFmtId="41" fontId="17" fillId="0" borderId="13" xfId="50" applyNumberFormat="1" applyFont="1" applyFill="1" applyBorder="1"/>
    <xf numFmtId="5" fontId="11" fillId="0" borderId="12" xfId="50" applyNumberFormat="1" applyFont="1" applyBorder="1" applyProtection="1"/>
    <xf numFmtId="9" fontId="6" fillId="0" borderId="0" xfId="51" applyFont="1" applyProtection="1"/>
    <xf numFmtId="10" fontId="6" fillId="0" borderId="0" xfId="51" applyNumberFormat="1" applyFont="1" applyProtection="1"/>
    <xf numFmtId="168" fontId="11" fillId="0" borderId="12" xfId="50" applyNumberFormat="1" applyFont="1" applyBorder="1" applyProtection="1"/>
    <xf numFmtId="168" fontId="11" fillId="0" borderId="10" xfId="50" applyNumberFormat="1" applyFont="1" applyBorder="1" applyProtection="1"/>
    <xf numFmtId="41" fontId="17" fillId="0" borderId="13" xfId="50" applyNumberFormat="1" applyFont="1" applyBorder="1" applyProtection="1"/>
    <xf numFmtId="0" fontId="6" fillId="0" borderId="0" xfId="50" applyFont="1" applyFill="1" applyBorder="1" applyProtection="1"/>
    <xf numFmtId="0" fontId="28" fillId="0" borderId="25" xfId="50" applyFont="1" applyBorder="1" applyProtection="1"/>
    <xf numFmtId="0" fontId="6" fillId="0" borderId="14" xfId="50" applyFont="1" applyBorder="1" applyProtection="1"/>
    <xf numFmtId="0" fontId="6" fillId="0" borderId="15" xfId="50" applyFont="1" applyBorder="1" applyProtection="1"/>
    <xf numFmtId="41" fontId="16" fillId="0" borderId="25" xfId="50" applyNumberFormat="1" applyFont="1" applyBorder="1" applyProtection="1"/>
    <xf numFmtId="5" fontId="6" fillId="0" borderId="14" xfId="50" applyNumberFormat="1" applyFont="1" applyBorder="1" applyProtection="1"/>
    <xf numFmtId="5" fontId="11" fillId="0" borderId="15" xfId="50" quotePrefix="1" applyNumberFormat="1" applyFont="1" applyBorder="1" applyProtection="1"/>
    <xf numFmtId="5" fontId="6" fillId="0" borderId="12" xfId="50" applyNumberFormat="1" applyFont="1" applyBorder="1" applyProtection="1"/>
    <xf numFmtId="41" fontId="17" fillId="0" borderId="0" xfId="50" applyNumberFormat="1" applyFont="1"/>
    <xf numFmtId="170" fontId="76" fillId="0" borderId="0" xfId="50" applyNumberFormat="1" applyFont="1" applyFill="1" applyBorder="1" applyProtection="1"/>
    <xf numFmtId="173" fontId="6" fillId="0" borderId="0" xfId="52" applyNumberFormat="1" applyFont="1" applyProtection="1"/>
    <xf numFmtId="41" fontId="6" fillId="0" borderId="0" xfId="50" applyNumberFormat="1" applyFont="1" applyProtection="1"/>
    <xf numFmtId="5" fontId="6" fillId="0" borderId="0" xfId="50" applyNumberFormat="1" applyFont="1" applyFill="1" applyBorder="1" applyProtection="1"/>
    <xf numFmtId="5" fontId="77" fillId="0" borderId="0" xfId="50" applyNumberFormat="1" applyFont="1" applyBorder="1"/>
    <xf numFmtId="0" fontId="77" fillId="0" borderId="0" xfId="50" applyFont="1" applyFill="1" applyBorder="1"/>
    <xf numFmtId="0" fontId="77" fillId="0" borderId="0" xfId="50" applyFont="1" applyBorder="1"/>
    <xf numFmtId="0" fontId="17" fillId="0" borderId="0" xfId="50" applyFont="1" applyAlignment="1">
      <alignment horizontal="right" wrapText="1"/>
    </xf>
    <xf numFmtId="173" fontId="11" fillId="0" borderId="0" xfId="52" applyNumberFormat="1" applyFont="1" applyProtection="1"/>
    <xf numFmtId="41" fontId="11" fillId="0" borderId="0" xfId="50" applyNumberFormat="1" applyFont="1" applyAlignment="1" applyProtection="1">
      <alignment horizontal="center"/>
    </xf>
    <xf numFmtId="165" fontId="11" fillId="0" borderId="0" xfId="50" applyNumberFormat="1" applyFont="1" applyFill="1" applyBorder="1" applyAlignment="1" applyProtection="1">
      <alignment horizontal="left"/>
    </xf>
    <xf numFmtId="0" fontId="17" fillId="0" borderId="0" xfId="50" applyFont="1" applyAlignment="1">
      <alignment horizontal="right"/>
    </xf>
    <xf numFmtId="10" fontId="66" fillId="21" borderId="0" xfId="50" applyNumberFormat="1" applyFont="1" applyFill="1"/>
    <xf numFmtId="0" fontId="17" fillId="0" borderId="0" xfId="50" applyFont="1" applyBorder="1"/>
    <xf numFmtId="9" fontId="77" fillId="0" borderId="0" xfId="51" applyFont="1" applyBorder="1"/>
    <xf numFmtId="9" fontId="77" fillId="0" borderId="0" xfId="51" applyNumberFormat="1" applyFont="1" applyBorder="1"/>
    <xf numFmtId="0" fontId="17" fillId="0" borderId="0" xfId="50" applyFont="1" applyBorder="1" applyAlignment="1">
      <alignment horizontal="right"/>
    </xf>
    <xf numFmtId="5" fontId="17" fillId="0" borderId="0" xfId="50" applyNumberFormat="1" applyFont="1"/>
    <xf numFmtId="3" fontId="77" fillId="0" borderId="0" xfId="50" applyNumberFormat="1" applyFont="1" applyBorder="1"/>
    <xf numFmtId="9" fontId="77" fillId="0" borderId="0" xfId="51" applyFont="1" applyBorder="1" applyAlignment="1">
      <alignment horizontal="left"/>
    </xf>
    <xf numFmtId="43" fontId="77" fillId="0" borderId="0" xfId="50" applyNumberFormat="1" applyFont="1" applyBorder="1"/>
    <xf numFmtId="9" fontId="17" fillId="0" borderId="0" xfId="50" applyNumberFormat="1" applyFont="1"/>
    <xf numFmtId="168" fontId="17" fillId="0" borderId="0" xfId="51" applyNumberFormat="1" applyFont="1" applyBorder="1" applyProtection="1"/>
    <xf numFmtId="17" fontId="17" fillId="0" borderId="0" xfId="50" quotePrefix="1" applyNumberFormat="1" applyFont="1" applyAlignment="1">
      <alignment horizontal="right"/>
    </xf>
    <xf numFmtId="0" fontId="66" fillId="0" borderId="0" xfId="50" applyFont="1"/>
    <xf numFmtId="3" fontId="17" fillId="0" borderId="0" xfId="50" applyNumberFormat="1" applyFont="1" applyBorder="1"/>
    <xf numFmtId="9" fontId="17" fillId="0" borderId="0" xfId="51" applyNumberFormat="1" applyFont="1" applyBorder="1"/>
    <xf numFmtId="9" fontId="17" fillId="0" borderId="0" xfId="51" applyFont="1" applyBorder="1"/>
    <xf numFmtId="41" fontId="66" fillId="18" borderId="0" xfId="50" applyNumberFormat="1" applyFont="1" applyFill="1"/>
    <xf numFmtId="5" fontId="17" fillId="0" borderId="0" xfId="50" applyNumberFormat="1" applyFont="1" applyFill="1"/>
    <xf numFmtId="43" fontId="17" fillId="0" borderId="0" xfId="50" applyNumberFormat="1" applyFont="1"/>
    <xf numFmtId="5" fontId="77" fillId="0" borderId="0" xfId="50" applyNumberFormat="1" applyFont="1"/>
    <xf numFmtId="0" fontId="77" fillId="0" borderId="0" xfId="50" applyFont="1"/>
    <xf numFmtId="1" fontId="17" fillId="18" borderId="26" xfId="0" applyNumberFormat="1" applyFont="1" applyFill="1" applyBorder="1"/>
    <xf numFmtId="43" fontId="17" fillId="0" borderId="10" xfId="0" applyNumberFormat="1" applyFont="1" applyBorder="1" applyProtection="1"/>
    <xf numFmtId="5" fontId="16" fillId="0" borderId="25" xfId="0" applyNumberFormat="1" applyFont="1" applyBorder="1" applyProtection="1"/>
    <xf numFmtId="0" fontId="70" fillId="0" borderId="0" xfId="0" applyFont="1" applyBorder="1" applyProtection="1"/>
    <xf numFmtId="0" fontId="70" fillId="0" borderId="51" xfId="0" applyFont="1" applyBorder="1" applyAlignment="1" applyProtection="1">
      <alignment horizontal="right"/>
    </xf>
    <xf numFmtId="172" fontId="70" fillId="0" borderId="52" xfId="43" applyNumberFormat="1" applyFont="1" applyBorder="1" applyProtection="1"/>
    <xf numFmtId="0" fontId="70" fillId="0" borderId="0" xfId="0" applyFont="1" applyBorder="1"/>
    <xf numFmtId="41" fontId="82" fillId="0" borderId="0" xfId="0" applyNumberFormat="1" applyFont="1" applyFill="1" applyProtection="1"/>
    <xf numFmtId="173" fontId="82" fillId="0" borderId="0" xfId="0" applyNumberFormat="1" applyFont="1"/>
    <xf numFmtId="43" fontId="70" fillId="0" borderId="0" xfId="0" applyNumberFormat="1" applyFont="1" applyFill="1" applyProtection="1"/>
    <xf numFmtId="43" fontId="70" fillId="0" borderId="0" xfId="0" applyNumberFormat="1" applyFont="1" applyFill="1"/>
    <xf numFmtId="170" fontId="70" fillId="0" borderId="0" xfId="0" applyNumberFormat="1" applyFont="1" applyFill="1"/>
    <xf numFmtId="170" fontId="70" fillId="0" borderId="0" xfId="0" applyNumberFormat="1" applyFont="1"/>
    <xf numFmtId="173" fontId="70" fillId="0" borderId="0" xfId="0" applyNumberFormat="1" applyFont="1"/>
    <xf numFmtId="9" fontId="3" fillId="0" borderId="0" xfId="43" applyFont="1"/>
    <xf numFmtId="0" fontId="3" fillId="0" borderId="0" xfId="0" applyFont="1" applyFill="1" applyProtection="1"/>
    <xf numFmtId="173" fontId="17" fillId="0" borderId="0" xfId="0" applyNumberFormat="1" applyFont="1" applyProtection="1"/>
    <xf numFmtId="173" fontId="17" fillId="0" borderId="12" xfId="0" applyNumberFormat="1" applyFont="1" applyBorder="1" applyProtection="1"/>
    <xf numFmtId="0" fontId="70" fillId="0" borderId="0" xfId="0" applyFont="1" applyFill="1" applyBorder="1" applyAlignment="1" applyProtection="1">
      <alignment horizontal="right"/>
    </xf>
    <xf numFmtId="0" fontId="70" fillId="0" borderId="16" xfId="0" applyFont="1" applyFill="1" applyBorder="1" applyAlignment="1" applyProtection="1">
      <alignment horizontal="right"/>
    </xf>
    <xf numFmtId="173" fontId="70" fillId="0" borderId="16" xfId="0" applyNumberFormat="1" applyFont="1" applyBorder="1"/>
    <xf numFmtId="173" fontId="70" fillId="0" borderId="0" xfId="0" applyNumberFormat="1" applyFont="1" applyBorder="1" applyProtection="1"/>
    <xf numFmtId="173" fontId="74" fillId="0" borderId="0" xfId="0" applyNumberFormat="1" applyFont="1"/>
    <xf numFmtId="173" fontId="17" fillId="0" borderId="0" xfId="0" applyNumberFormat="1" applyFont="1"/>
    <xf numFmtId="37" fontId="83" fillId="0" borderId="0" xfId="0" applyNumberFormat="1" applyFont="1" applyFill="1" applyBorder="1"/>
    <xf numFmtId="6" fontId="17" fillId="0" borderId="0" xfId="0" applyNumberFormat="1" applyFont="1"/>
    <xf numFmtId="168" fontId="17" fillId="0" borderId="0" xfId="0" applyNumberFormat="1" applyFont="1" applyProtection="1"/>
    <xf numFmtId="9" fontId="17" fillId="0" borderId="0" xfId="0" applyNumberFormat="1" applyFont="1" applyProtection="1"/>
    <xf numFmtId="7" fontId="17" fillId="0" borderId="0" xfId="0" applyNumberFormat="1" applyFont="1" applyFill="1" applyProtection="1"/>
    <xf numFmtId="9" fontId="17" fillId="0" borderId="0" xfId="0" applyNumberFormat="1" applyFont="1" applyFill="1" applyProtection="1"/>
    <xf numFmtId="175" fontId="17" fillId="0" borderId="0" xfId="0" applyNumberFormat="1" applyFont="1" applyFill="1" applyBorder="1"/>
    <xf numFmtId="0" fontId="84" fillId="0" borderId="0" xfId="0" applyFont="1" applyBorder="1"/>
    <xf numFmtId="173" fontId="29" fillId="23" borderId="0" xfId="28" applyNumberFormat="1" applyFont="1" applyFill="1"/>
    <xf numFmtId="170" fontId="29" fillId="23" borderId="0" xfId="0" applyNumberFormat="1" applyFont="1" applyFill="1"/>
    <xf numFmtId="9" fontId="17" fillId="18" borderId="29" xfId="43" applyFont="1" applyFill="1" applyBorder="1" applyProtection="1"/>
    <xf numFmtId="0" fontId="70" fillId="0" borderId="0" xfId="0" applyFont="1" applyFill="1" applyBorder="1"/>
    <xf numFmtId="0" fontId="74" fillId="0" borderId="0" xfId="0" applyFont="1" applyFill="1" applyBorder="1"/>
    <xf numFmtId="0" fontId="66" fillId="0" borderId="0" xfId="0" applyFont="1" applyFill="1" applyBorder="1"/>
    <xf numFmtId="0" fontId="17" fillId="0" borderId="0" xfId="0" applyFont="1" applyFill="1" applyBorder="1" applyAlignment="1" applyProtection="1">
      <alignment horizontal="right"/>
    </xf>
    <xf numFmtId="5" fontId="17" fillId="0" borderId="0" xfId="0" applyNumberFormat="1" applyFont="1" applyFill="1" applyBorder="1"/>
    <xf numFmtId="44" fontId="17" fillId="0" borderId="0" xfId="0" applyNumberFormat="1" applyFont="1" applyFill="1" applyBorder="1"/>
    <xf numFmtId="169" fontId="17" fillId="0" borderId="0" xfId="0" applyNumberFormat="1" applyFont="1" applyFill="1" applyBorder="1" applyProtection="1"/>
    <xf numFmtId="0" fontId="17" fillId="0" borderId="0" xfId="0" applyFont="1" applyFill="1" applyBorder="1" applyAlignment="1">
      <alignment horizontal="right"/>
    </xf>
    <xf numFmtId="7" fontId="17" fillId="0" borderId="0" xfId="0" applyNumberFormat="1" applyFont="1" applyFill="1" applyBorder="1"/>
    <xf numFmtId="9" fontId="17" fillId="0" borderId="0" xfId="43" applyFont="1" applyFill="1" applyBorder="1"/>
    <xf numFmtId="7" fontId="17" fillId="0" borderId="0" xfId="0" applyNumberFormat="1" applyFont="1" applyFill="1" applyBorder="1" applyProtection="1"/>
    <xf numFmtId="177" fontId="17" fillId="0" borderId="0" xfId="0" applyNumberFormat="1" applyFont="1" applyFill="1" applyBorder="1"/>
    <xf numFmtId="169" fontId="17" fillId="0" borderId="0" xfId="0" applyNumberFormat="1" applyFont="1" applyFill="1" applyBorder="1"/>
    <xf numFmtId="5" fontId="31" fillId="0" borderId="0" xfId="0" applyNumberFormat="1" applyFont="1" applyFill="1" applyBorder="1" applyProtection="1"/>
    <xf numFmtId="0" fontId="31" fillId="0" borderId="12" xfId="0" applyFont="1" applyBorder="1" applyProtection="1"/>
    <xf numFmtId="0" fontId="25" fillId="0" borderId="0" xfId="0" applyFont="1" applyBorder="1" applyProtection="1"/>
    <xf numFmtId="169" fontId="31" fillId="0" borderId="0" xfId="29" applyNumberFormat="1" applyFont="1" applyBorder="1"/>
    <xf numFmtId="5" fontId="31" fillId="18" borderId="29" xfId="0" applyNumberFormat="1" applyFont="1" applyFill="1" applyBorder="1" applyProtection="1"/>
    <xf numFmtId="0" fontId="25" fillId="0" borderId="10" xfId="0" applyFont="1" applyBorder="1" applyProtection="1"/>
    <xf numFmtId="169" fontId="31" fillId="0" borderId="0" xfId="0" applyNumberFormat="1" applyFont="1" applyFill="1" applyBorder="1" applyProtection="1"/>
    <xf numFmtId="0" fontId="31" fillId="0" borderId="0" xfId="0" applyFont="1" applyFill="1" applyBorder="1"/>
    <xf numFmtId="0" fontId="31" fillId="0" borderId="0" xfId="0" applyFont="1" applyBorder="1"/>
    <xf numFmtId="9" fontId="31" fillId="0" borderId="0" xfId="43" applyFont="1" applyBorder="1"/>
    <xf numFmtId="5" fontId="85" fillId="0" borderId="0" xfId="0" applyNumberFormat="1" applyFont="1" applyFill="1" applyBorder="1" applyProtection="1"/>
    <xf numFmtId="0" fontId="85" fillId="0" borderId="0" xfId="0" applyFont="1" applyFill="1" applyBorder="1"/>
    <xf numFmtId="0" fontId="85" fillId="0" borderId="0" xfId="0" applyFont="1" applyBorder="1"/>
    <xf numFmtId="0" fontId="62" fillId="0" borderId="20" xfId="0" applyFont="1" applyBorder="1"/>
    <xf numFmtId="0" fontId="62" fillId="0" borderId="0" xfId="0" applyFont="1" applyBorder="1"/>
    <xf numFmtId="0" fontId="62" fillId="0" borderId="10" xfId="0" applyFont="1" applyBorder="1" applyProtection="1"/>
    <xf numFmtId="2" fontId="62" fillId="18" borderId="26" xfId="0" applyNumberFormat="1" applyFont="1" applyFill="1" applyBorder="1" applyAlignment="1" applyProtection="1">
      <alignment horizontal="center"/>
    </xf>
    <xf numFmtId="5" fontId="62" fillId="0" borderId="0" xfId="0" applyNumberFormat="1" applyFont="1" applyBorder="1"/>
    <xf numFmtId="0" fontId="62" fillId="18" borderId="26" xfId="0" applyFont="1" applyFill="1" applyBorder="1" applyAlignment="1" applyProtection="1">
      <alignment horizontal="center"/>
    </xf>
    <xf numFmtId="10" fontId="17" fillId="18" borderId="29" xfId="43" applyNumberFormat="1" applyFont="1" applyFill="1" applyBorder="1" applyProtection="1"/>
    <xf numFmtId="169" fontId="6" fillId="0" borderId="0" xfId="0" applyNumberFormat="1" applyFont="1" applyBorder="1" applyProtection="1"/>
    <xf numFmtId="0" fontId="66" fillId="0" borderId="0" xfId="0" applyFont="1" applyAlignment="1">
      <alignment horizontal="center"/>
    </xf>
    <xf numFmtId="10" fontId="65" fillId="18" borderId="49" xfId="0" applyNumberFormat="1" applyFont="1" applyFill="1" applyBorder="1"/>
    <xf numFmtId="43" fontId="66" fillId="0" borderId="0" xfId="0" applyNumberFormat="1" applyFont="1"/>
    <xf numFmtId="173" fontId="70" fillId="0" borderId="0" xfId="0" applyNumberFormat="1" applyFont="1" applyFill="1" applyBorder="1"/>
    <xf numFmtId="43" fontId="70" fillId="0" borderId="0" xfId="0" applyNumberFormat="1" applyFont="1" applyFill="1" applyBorder="1"/>
    <xf numFmtId="0" fontId="61" fillId="0" borderId="0" xfId="0" applyFont="1" applyFill="1" applyBorder="1"/>
    <xf numFmtId="173" fontId="61" fillId="0" borderId="0" xfId="0" applyNumberFormat="1" applyFont="1" applyFill="1" applyBorder="1"/>
    <xf numFmtId="173" fontId="66" fillId="0" borderId="0" xfId="0" applyNumberFormat="1" applyFont="1" applyFill="1" applyBorder="1"/>
    <xf numFmtId="173" fontId="17" fillId="0" borderId="0" xfId="0" applyNumberFormat="1" applyFont="1" applyFill="1" applyBorder="1"/>
    <xf numFmtId="173" fontId="74" fillId="0" borderId="0" xfId="0" applyNumberFormat="1" applyFont="1" applyFill="1" applyBorder="1"/>
    <xf numFmtId="173" fontId="16" fillId="0" borderId="0" xfId="0" applyNumberFormat="1" applyFont="1" applyFill="1" applyBorder="1"/>
    <xf numFmtId="9" fontId="74" fillId="0" borderId="0" xfId="0" applyNumberFormat="1" applyFont="1" applyFill="1" applyBorder="1"/>
    <xf numFmtId="41" fontId="74" fillId="0" borderId="0" xfId="0" applyNumberFormat="1" applyFont="1" applyFill="1" applyBorder="1"/>
    <xf numFmtId="173" fontId="17" fillId="0" borderId="36" xfId="28" applyNumberFormat="1" applyFont="1" applyBorder="1"/>
    <xf numFmtId="41" fontId="40" fillId="0" borderId="0" xfId="0" applyNumberFormat="1" applyFont="1" applyFill="1" applyProtection="1"/>
    <xf numFmtId="9" fontId="17" fillId="0" borderId="0" xfId="43" applyFont="1" applyFill="1" applyProtection="1"/>
    <xf numFmtId="7" fontId="3" fillId="0" borderId="0" xfId="0" applyNumberFormat="1" applyFont="1" applyFill="1" applyBorder="1" applyProtection="1"/>
    <xf numFmtId="9" fontId="16" fillId="0" borderId="0" xfId="0" applyNumberFormat="1" applyFont="1" applyFill="1"/>
    <xf numFmtId="10" fontId="17" fillId="0" borderId="0" xfId="0" applyNumberFormat="1" applyFont="1" applyFill="1" applyProtection="1"/>
    <xf numFmtId="168" fontId="17" fillId="0" borderId="0" xfId="0" applyNumberFormat="1" applyFont="1" applyFill="1" applyProtection="1"/>
    <xf numFmtId="39" fontId="17" fillId="0" borderId="0" xfId="0" applyNumberFormat="1" applyFont="1" applyFill="1" applyAlignment="1" applyProtection="1">
      <alignment horizontal="center"/>
    </xf>
    <xf numFmtId="0" fontId="40" fillId="0" borderId="0" xfId="0" applyFont="1" applyFill="1" applyProtection="1"/>
    <xf numFmtId="175" fontId="40" fillId="0" borderId="0" xfId="0" applyNumberFormat="1" applyFont="1" applyFill="1" applyProtection="1"/>
    <xf numFmtId="170" fontId="40" fillId="0" borderId="0" xfId="0" applyNumberFormat="1" applyFont="1" applyFill="1" applyProtection="1"/>
    <xf numFmtId="9" fontId="40" fillId="0" borderId="0" xfId="0" applyNumberFormat="1" applyFont="1" applyFill="1" applyProtection="1"/>
    <xf numFmtId="170" fontId="40" fillId="0" borderId="0" xfId="0" applyNumberFormat="1" applyFont="1" applyFill="1"/>
    <xf numFmtId="43" fontId="40" fillId="0" borderId="0" xfId="0" applyNumberFormat="1" applyFont="1" applyFill="1" applyProtection="1"/>
    <xf numFmtId="0" fontId="31" fillId="0" borderId="0" xfId="0" applyFont="1" applyFill="1" applyProtection="1"/>
    <xf numFmtId="0" fontId="3" fillId="0" borderId="10" xfId="0" applyFont="1" applyFill="1" applyBorder="1" applyProtection="1"/>
    <xf numFmtId="41" fontId="17" fillId="18" borderId="45" xfId="0" applyNumberFormat="1" applyFont="1" applyFill="1" applyBorder="1" applyProtection="1"/>
    <xf numFmtId="173" fontId="17" fillId="0" borderId="12" xfId="0" quotePrefix="1" applyNumberFormat="1" applyFont="1" applyBorder="1" applyProtection="1"/>
    <xf numFmtId="9" fontId="17" fillId="0" borderId="12" xfId="0" applyNumberFormat="1" applyFont="1" applyBorder="1" applyProtection="1"/>
    <xf numFmtId="168" fontId="17" fillId="0" borderId="12" xfId="0" applyNumberFormat="1" applyFont="1" applyBorder="1" applyProtection="1"/>
    <xf numFmtId="170" fontId="40" fillId="0" borderId="0" xfId="0" applyNumberFormat="1" applyFont="1" applyFill="1" applyBorder="1" applyProtection="1"/>
    <xf numFmtId="0" fontId="40" fillId="0" borderId="0" xfId="0" applyFont="1" applyFill="1" applyBorder="1" applyProtection="1"/>
    <xf numFmtId="9" fontId="40" fillId="0" borderId="0" xfId="0" applyNumberFormat="1" applyFont="1" applyFill="1" applyBorder="1" applyProtection="1"/>
    <xf numFmtId="37" fontId="17" fillId="0" borderId="0" xfId="0" applyNumberFormat="1" applyFont="1" applyFill="1" applyBorder="1" applyProtection="1"/>
    <xf numFmtId="168" fontId="10" fillId="0" borderId="12" xfId="43" applyNumberFormat="1" applyFont="1" applyBorder="1" applyProtection="1"/>
    <xf numFmtId="170" fontId="16" fillId="0" borderId="0" xfId="0" applyNumberFormat="1" applyFont="1" applyProtection="1"/>
    <xf numFmtId="41" fontId="17" fillId="0" borderId="0" xfId="0" applyNumberFormat="1" applyFont="1" applyFill="1" applyAlignment="1" applyProtection="1"/>
    <xf numFmtId="43" fontId="17" fillId="0" borderId="0" xfId="0" applyNumberFormat="1" applyFont="1"/>
    <xf numFmtId="0" fontId="17" fillId="0" borderId="12" xfId="0" applyFont="1" applyFill="1" applyBorder="1" applyAlignment="1" applyProtection="1">
      <alignment horizontal="right"/>
    </xf>
    <xf numFmtId="3" fontId="17" fillId="0" borderId="0" xfId="0" applyNumberFormat="1" applyFont="1" applyFill="1" applyBorder="1" applyAlignment="1">
      <alignment horizontal="center"/>
    </xf>
    <xf numFmtId="9" fontId="17" fillId="0" borderId="0" xfId="0" applyNumberFormat="1" applyFont="1"/>
    <xf numFmtId="0" fontId="86" fillId="0" borderId="0" xfId="0" applyFont="1" applyAlignment="1">
      <alignment horizontal="left"/>
    </xf>
    <xf numFmtId="169" fontId="17" fillId="0" borderId="0" xfId="29" applyNumberFormat="1" applyFont="1" applyFill="1" applyBorder="1" applyProtection="1"/>
    <xf numFmtId="168" fontId="20" fillId="0" borderId="0" xfId="43" applyNumberFormat="1" applyFont="1" applyBorder="1"/>
    <xf numFmtId="173" fontId="65" fillId="0" borderId="0" xfId="0" applyNumberFormat="1" applyFont="1" applyBorder="1"/>
    <xf numFmtId="173" fontId="29" fillId="24" borderId="0" xfId="52" applyNumberFormat="1" applyFont="1" applyFill="1" applyBorder="1"/>
    <xf numFmtId="170" fontId="29" fillId="24" borderId="0" xfId="0" applyNumberFormat="1" applyFont="1" applyFill="1" applyBorder="1"/>
    <xf numFmtId="170" fontId="57" fillId="0" borderId="0" xfId="0" applyNumberFormat="1" applyFont="1" applyFill="1" applyBorder="1" applyProtection="1"/>
    <xf numFmtId="43" fontId="17" fillId="0" borderId="0" xfId="0" applyNumberFormat="1" applyFont="1" applyFill="1" applyBorder="1"/>
    <xf numFmtId="9" fontId="17" fillId="0" borderId="0" xfId="0" applyNumberFormat="1" applyFont="1" applyFill="1" applyBorder="1"/>
    <xf numFmtId="2" fontId="17" fillId="0" borderId="0" xfId="0" applyNumberFormat="1" applyFont="1" applyFill="1" applyBorder="1"/>
    <xf numFmtId="9" fontId="20" fillId="0" borderId="0" xfId="43" applyNumberFormat="1" applyFont="1" applyBorder="1"/>
    <xf numFmtId="9" fontId="20" fillId="0" borderId="0" xfId="0" applyNumberFormat="1" applyFont="1" applyBorder="1"/>
    <xf numFmtId="5" fontId="3" fillId="0" borderId="0" xfId="0" applyNumberFormat="1" applyFont="1" applyFill="1" applyAlignment="1" applyProtection="1">
      <protection locked="0"/>
    </xf>
    <xf numFmtId="170" fontId="16" fillId="0" borderId="0" xfId="0" applyNumberFormat="1" applyFont="1" applyFill="1" applyAlignment="1" applyProtection="1">
      <alignment horizontal="right"/>
    </xf>
    <xf numFmtId="41" fontId="87" fillId="0" borderId="0" xfId="0" applyNumberFormat="1" applyFont="1" applyFill="1" applyProtection="1"/>
    <xf numFmtId="0" fontId="17" fillId="0" borderId="10" xfId="0" applyFont="1" applyFill="1" applyBorder="1" applyAlignment="1">
      <alignment horizontal="left"/>
    </xf>
    <xf numFmtId="9" fontId="20" fillId="0" borderId="10" xfId="43" applyFont="1" applyFill="1" applyBorder="1" applyAlignment="1">
      <alignment horizontal="left"/>
    </xf>
    <xf numFmtId="9" fontId="88" fillId="0" borderId="0" xfId="0" applyNumberFormat="1" applyFont="1" applyBorder="1" applyProtection="1"/>
    <xf numFmtId="0" fontId="31" fillId="0" borderId="10" xfId="0" applyFont="1" applyBorder="1" applyProtection="1"/>
    <xf numFmtId="0" fontId="89" fillId="0" borderId="0" xfId="0" applyFont="1" applyBorder="1"/>
    <xf numFmtId="10" fontId="17" fillId="0" borderId="20" xfId="0" applyNumberFormat="1" applyFont="1" applyFill="1" applyBorder="1"/>
    <xf numFmtId="169" fontId="17" fillId="18" borderId="26" xfId="29" applyNumberFormat="1" applyFont="1" applyFill="1" applyBorder="1" applyProtection="1"/>
    <xf numFmtId="169" fontId="17" fillId="18" borderId="25" xfId="29" applyNumberFormat="1" applyFont="1" applyFill="1" applyBorder="1" applyProtection="1"/>
    <xf numFmtId="0" fontId="66" fillId="0" borderId="0" xfId="50" applyFont="1" applyBorder="1" applyAlignment="1">
      <alignment horizontal="right"/>
    </xf>
    <xf numFmtId="14" fontId="66" fillId="0" borderId="0" xfId="50" applyNumberFormat="1" applyFont="1" applyBorder="1"/>
    <xf numFmtId="0" fontId="90" fillId="0" borderId="0" xfId="0" applyFont="1" applyFill="1" applyBorder="1" applyAlignment="1" applyProtection="1">
      <alignment horizontal="centerContinuous"/>
    </xf>
    <xf numFmtId="37" fontId="90" fillId="0" borderId="0" xfId="0" applyNumberFormat="1" applyFont="1" applyBorder="1"/>
    <xf numFmtId="41" fontId="89" fillId="18" borderId="0" xfId="0" applyNumberFormat="1" applyFont="1" applyFill="1"/>
    <xf numFmtId="0" fontId="89" fillId="0" borderId="0" xfId="0" applyFont="1" applyProtection="1"/>
    <xf numFmtId="9" fontId="3" fillId="0" borderId="0" xfId="43" applyFont="1" applyFill="1" applyAlignment="1">
      <alignment horizontal="left"/>
    </xf>
    <xf numFmtId="41" fontId="91" fillId="18" borderId="45" xfId="0" applyNumberFormat="1" applyFont="1" applyFill="1" applyBorder="1" applyProtection="1"/>
    <xf numFmtId="173" fontId="66" fillId="0" borderId="12" xfId="0" applyNumberFormat="1" applyFont="1" applyBorder="1" applyProtection="1"/>
    <xf numFmtId="41" fontId="66" fillId="0" borderId="0" xfId="0" applyNumberFormat="1" applyFont="1" applyProtection="1"/>
    <xf numFmtId="0" fontId="66" fillId="0" borderId="0" xfId="0" applyFont="1" applyProtection="1"/>
    <xf numFmtId="3" fontId="90" fillId="0" borderId="0" xfId="0" applyNumberFormat="1" applyFont="1" applyFill="1"/>
    <xf numFmtId="3" fontId="90" fillId="0" borderId="0" xfId="0" applyNumberFormat="1" applyFont="1"/>
    <xf numFmtId="3" fontId="92" fillId="0" borderId="0" xfId="0" applyNumberFormat="1" applyFont="1" applyFill="1"/>
    <xf numFmtId="9" fontId="3" fillId="0" borderId="0" xfId="43" applyFont="1" applyFill="1"/>
    <xf numFmtId="3" fontId="92" fillId="0" borderId="0" xfId="0" applyNumberFormat="1" applyFont="1" applyFill="1" applyAlignment="1">
      <alignment horizontal="right"/>
    </xf>
    <xf numFmtId="173" fontId="6" fillId="0" borderId="0" xfId="0" applyNumberFormat="1" applyFont="1" applyProtection="1"/>
    <xf numFmtId="9" fontId="6" fillId="0" borderId="0" xfId="0" applyNumberFormat="1" applyFont="1" applyProtection="1"/>
    <xf numFmtId="10" fontId="17" fillId="0" borderId="0" xfId="43" applyNumberFormat="1" applyFont="1" applyFill="1"/>
    <xf numFmtId="43" fontId="17" fillId="0" borderId="0" xfId="0" applyNumberFormat="1" applyFont="1" applyFill="1"/>
    <xf numFmtId="6" fontId="16" fillId="0" borderId="0" xfId="0" applyNumberFormat="1" applyFont="1" applyFill="1" applyProtection="1"/>
    <xf numFmtId="5" fontId="16" fillId="18" borderId="31" xfId="0" applyNumberFormat="1" applyFont="1" applyFill="1" applyBorder="1" applyProtection="1"/>
    <xf numFmtId="173" fontId="17" fillId="0" borderId="0" xfId="52" applyNumberFormat="1" applyFont="1" applyFill="1" applyBorder="1"/>
    <xf numFmtId="173" fontId="89" fillId="0" borderId="0" xfId="52" applyNumberFormat="1" applyFont="1" applyFill="1" applyBorder="1"/>
    <xf numFmtId="173" fontId="65" fillId="0" borderId="0" xfId="0" applyNumberFormat="1" applyFont="1" applyFill="1" applyBorder="1"/>
    <xf numFmtId="2" fontId="66" fillId="0" borderId="0" xfId="0" applyNumberFormat="1" applyFont="1" applyFill="1" applyBorder="1"/>
    <xf numFmtId="10" fontId="17" fillId="18" borderId="17" xfId="0" applyNumberFormat="1" applyFont="1" applyFill="1" applyBorder="1" applyProtection="1"/>
    <xf numFmtId="173" fontId="17" fillId="0" borderId="0" xfId="28" applyNumberFormat="1" applyFont="1" applyProtection="1"/>
    <xf numFmtId="0" fontId="24" fillId="0" borderId="0" xfId="0" applyFont="1" applyProtection="1"/>
    <xf numFmtId="10" fontId="16" fillId="0" borderId="0" xfId="0" applyNumberFormat="1" applyFont="1" applyProtection="1"/>
    <xf numFmtId="173" fontId="34" fillId="0" borderId="0" xfId="28" applyNumberFormat="1" applyFont="1" applyProtection="1"/>
    <xf numFmtId="41" fontId="24" fillId="0" borderId="0" xfId="0" applyNumberFormat="1" applyFont="1" applyFill="1" applyAlignment="1" applyProtection="1">
      <alignment horizontal="right"/>
    </xf>
    <xf numFmtId="41" fontId="17" fillId="0" borderId="0" xfId="0" applyNumberFormat="1" applyFont="1" applyProtection="1"/>
    <xf numFmtId="0" fontId="3" fillId="0" borderId="0" xfId="0" applyFont="1" applyProtection="1"/>
    <xf numFmtId="173" fontId="3" fillId="0" borderId="0" xfId="28" applyNumberFormat="1" applyFont="1" applyAlignment="1" applyProtection="1">
      <alignment horizontal="right"/>
    </xf>
    <xf numFmtId="170" fontId="3" fillId="0" borderId="0" xfId="0" applyNumberFormat="1" applyFont="1" applyAlignment="1" applyProtection="1">
      <alignment horizontal="right"/>
    </xf>
    <xf numFmtId="165" fontId="3" fillId="0" borderId="0" xfId="0" applyNumberFormat="1" applyFont="1" applyFill="1" applyBorder="1" applyAlignment="1" applyProtection="1">
      <alignment horizontal="left"/>
    </xf>
    <xf numFmtId="0" fontId="93" fillId="0" borderId="0" xfId="0" applyFont="1" applyProtection="1"/>
    <xf numFmtId="165" fontId="3" fillId="0" borderId="0" xfId="0" applyNumberFormat="1" applyFont="1" applyProtection="1"/>
    <xf numFmtId="173" fontId="17" fillId="0" borderId="0" xfId="28" applyNumberFormat="1" applyFont="1"/>
    <xf numFmtId="170" fontId="17" fillId="0" borderId="0" xfId="0" applyNumberFormat="1" applyFont="1"/>
    <xf numFmtId="169" fontId="17" fillId="21" borderId="0" xfId="29" applyNumberFormat="1" applyFont="1" applyFill="1" applyBorder="1" applyProtection="1"/>
    <xf numFmtId="173" fontId="20" fillId="0" borderId="0" xfId="0" applyNumberFormat="1" applyFont="1" applyAlignment="1">
      <alignment horizontal="center"/>
    </xf>
    <xf numFmtId="7" fontId="17" fillId="0" borderId="0" xfId="0" applyNumberFormat="1" applyFont="1" applyFill="1"/>
    <xf numFmtId="173" fontId="20" fillId="0" borderId="0" xfId="0" applyNumberFormat="1" applyFont="1" applyBorder="1"/>
    <xf numFmtId="5" fontId="66" fillId="0" borderId="0" xfId="0" applyNumberFormat="1" applyFont="1" applyFill="1" applyBorder="1"/>
    <xf numFmtId="5" fontId="17" fillId="25" borderId="0" xfId="0" applyNumberFormat="1" applyFont="1" applyFill="1" applyBorder="1"/>
    <xf numFmtId="37" fontId="17" fillId="0" borderId="26" xfId="0" applyNumberFormat="1" applyFont="1" applyBorder="1" applyAlignment="1" applyProtection="1"/>
    <xf numFmtId="0" fontId="17" fillId="0" borderId="25" xfId="0" applyFont="1" applyBorder="1" applyAlignment="1" applyProtection="1">
      <alignment horizontal="left"/>
    </xf>
    <xf numFmtId="5" fontId="66" fillId="18" borderId="29" xfId="0" applyNumberFormat="1" applyFont="1" applyFill="1" applyBorder="1" applyProtection="1"/>
    <xf numFmtId="3" fontId="20" fillId="0" borderId="0" xfId="0" applyNumberFormat="1" applyFont="1" applyBorder="1"/>
    <xf numFmtId="37" fontId="20" fillId="0" borderId="0" xfId="0" applyNumberFormat="1" applyFont="1" applyBorder="1"/>
    <xf numFmtId="169" fontId="6" fillId="0" borderId="0" xfId="0" applyNumberFormat="1" applyFont="1" applyFill="1" applyBorder="1" applyProtection="1"/>
    <xf numFmtId="0" fontId="66" fillId="0" borderId="0" xfId="0" applyFont="1" applyFill="1" applyBorder="1" applyProtection="1"/>
    <xf numFmtId="0" fontId="66" fillId="0" borderId="0" xfId="0" applyFont="1" applyFill="1" applyBorder="1" applyAlignment="1" applyProtection="1">
      <alignment horizontal="right" wrapText="1"/>
    </xf>
    <xf numFmtId="7" fontId="70" fillId="0" borderId="0" xfId="0" applyNumberFormat="1" applyFont="1" applyProtection="1"/>
    <xf numFmtId="173" fontId="6" fillId="0" borderId="0" xfId="0" applyNumberFormat="1" applyFont="1" applyFill="1" applyBorder="1" applyProtection="1"/>
    <xf numFmtId="43" fontId="20" fillId="0" borderId="0" xfId="0" applyNumberFormat="1" applyFont="1" applyBorder="1"/>
    <xf numFmtId="173" fontId="17" fillId="23" borderId="34" xfId="28" applyNumberFormat="1" applyFont="1" applyFill="1" applyBorder="1"/>
    <xf numFmtId="0" fontId="9" fillId="0" borderId="0" xfId="0" applyFont="1" applyAlignment="1" applyProtection="1">
      <alignment vertical="center"/>
    </xf>
    <xf numFmtId="0" fontId="68" fillId="0" borderId="0" xfId="0" applyFont="1" applyAlignment="1" applyProtection="1">
      <alignment horizontal="left" vertical="center"/>
    </xf>
    <xf numFmtId="170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0" fontId="17" fillId="0" borderId="0" xfId="43" applyNumberFormat="1" applyFont="1" applyAlignment="1">
      <alignment vertical="center"/>
    </xf>
    <xf numFmtId="3" fontId="17" fillId="18" borderId="26" xfId="0" applyNumberFormat="1" applyFont="1" applyFill="1" applyBorder="1"/>
    <xf numFmtId="173" fontId="20" fillId="0" borderId="0" xfId="0" applyNumberFormat="1" applyFont="1"/>
    <xf numFmtId="2" fontId="66" fillId="18" borderId="17" xfId="0" applyNumberFormat="1" applyFont="1" applyFill="1" applyBorder="1"/>
    <xf numFmtId="0" fontId="11" fillId="0" borderId="12" xfId="0" quotePrefix="1" applyFont="1" applyBorder="1" applyProtection="1"/>
    <xf numFmtId="0" fontId="66" fillId="0" borderId="0" xfId="0" applyFont="1" applyFill="1" applyBorder="1" applyAlignment="1">
      <alignment horizontal="right"/>
    </xf>
    <xf numFmtId="173" fontId="66" fillId="0" borderId="10" xfId="0" applyNumberFormat="1" applyFont="1" applyFill="1" applyBorder="1" applyProtection="1"/>
    <xf numFmtId="0" fontId="72" fillId="0" borderId="0" xfId="0" applyFont="1" applyBorder="1"/>
    <xf numFmtId="0" fontId="17" fillId="0" borderId="0" xfId="0" applyFont="1" applyAlignment="1">
      <alignment horizontal="left"/>
    </xf>
    <xf numFmtId="173" fontId="20" fillId="0" borderId="16" xfId="0" applyNumberFormat="1" applyFont="1" applyBorder="1" applyAlignment="1">
      <alignment horizontal="center"/>
    </xf>
    <xf numFmtId="9" fontId="0" fillId="0" borderId="0" xfId="43" applyFont="1"/>
    <xf numFmtId="1" fontId="20" fillId="0" borderId="0" xfId="0" applyNumberFormat="1" applyFont="1" applyBorder="1"/>
    <xf numFmtId="0" fontId="94" fillId="0" borderId="0" xfId="0" applyFont="1" applyProtection="1"/>
    <xf numFmtId="170" fontId="10" fillId="0" borderId="0" xfId="0" applyNumberFormat="1" applyFont="1" applyProtection="1"/>
    <xf numFmtId="0" fontId="66" fillId="0" borderId="0" xfId="0" applyFont="1" applyBorder="1" applyProtection="1"/>
    <xf numFmtId="169" fontId="66" fillId="0" borderId="0" xfId="29" applyNumberFormat="1" applyFont="1" applyBorder="1"/>
    <xf numFmtId="5" fontId="66" fillId="0" borderId="0" xfId="0" applyNumberFormat="1" applyFont="1" applyFill="1" applyBorder="1" applyProtection="1"/>
    <xf numFmtId="5" fontId="66" fillId="25" borderId="0" xfId="0" applyNumberFormat="1" applyFont="1" applyFill="1" applyBorder="1"/>
    <xf numFmtId="0" fontId="66" fillId="0" borderId="12" xfId="0" applyFont="1" applyFill="1" applyBorder="1" applyAlignment="1" applyProtection="1">
      <alignment wrapText="1"/>
    </xf>
    <xf numFmtId="0" fontId="66" fillId="0" borderId="12" xfId="0" applyFont="1" applyFill="1" applyBorder="1" applyAlignment="1" applyProtection="1">
      <alignment horizontal="right"/>
    </xf>
    <xf numFmtId="3" fontId="66" fillId="0" borderId="26" xfId="0" applyNumberFormat="1" applyFont="1" applyFill="1" applyBorder="1" applyAlignment="1">
      <alignment horizontal="center"/>
    </xf>
    <xf numFmtId="0" fontId="95" fillId="0" borderId="0" xfId="0" applyFont="1" applyProtection="1"/>
    <xf numFmtId="10" fontId="95" fillId="18" borderId="0" xfId="0" applyNumberFormat="1" applyFont="1" applyFill="1" applyBorder="1" applyProtection="1"/>
    <xf numFmtId="10" fontId="89" fillId="18" borderId="12" xfId="0" applyNumberFormat="1" applyFont="1" applyFill="1" applyBorder="1" applyProtection="1"/>
    <xf numFmtId="0" fontId="89" fillId="0" borderId="12" xfId="0" applyFont="1" applyBorder="1" applyProtection="1"/>
    <xf numFmtId="0" fontId="92" fillId="0" borderId="0" xfId="0" applyFont="1" applyFill="1" applyAlignment="1" applyProtection="1">
      <alignment horizontal="right"/>
    </xf>
    <xf numFmtId="0" fontId="92" fillId="0" borderId="0" xfId="0" applyFont="1" applyFill="1" applyProtection="1"/>
    <xf numFmtId="173" fontId="92" fillId="0" borderId="0" xfId="28" applyNumberFormat="1" applyFont="1" applyFill="1" applyProtection="1"/>
    <xf numFmtId="5" fontId="92" fillId="0" borderId="0" xfId="0" applyNumberFormat="1" applyFont="1" applyFill="1" applyProtection="1"/>
    <xf numFmtId="44" fontId="66" fillId="18" borderId="26" xfId="29" applyNumberFormat="1" applyFont="1" applyFill="1" applyBorder="1" applyAlignment="1">
      <alignment horizontal="center"/>
    </xf>
    <xf numFmtId="9" fontId="16" fillId="0" borderId="17" xfId="51" applyFont="1" applyFill="1" applyBorder="1" applyAlignment="1">
      <alignment horizontal="left"/>
    </xf>
    <xf numFmtId="0" fontId="16" fillId="0" borderId="40" xfId="39" applyFont="1" applyFill="1" applyBorder="1" applyAlignment="1">
      <alignment horizontal="center"/>
    </xf>
    <xf numFmtId="3" fontId="17" fillId="0" borderId="42" xfId="0" applyNumberFormat="1" applyFont="1" applyFill="1" applyBorder="1" applyAlignment="1">
      <alignment horizontal="center"/>
    </xf>
    <xf numFmtId="9" fontId="17" fillId="0" borderId="0" xfId="39" applyNumberFormat="1" applyFont="1" applyFill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17" xfId="39" applyFont="1" applyFill="1" applyBorder="1" applyAlignment="1">
      <alignment horizontal="center" wrapText="1"/>
    </xf>
    <xf numFmtId="43" fontId="17" fillId="0" borderId="0" xfId="39" applyNumberFormat="1" applyFont="1" applyFill="1" applyBorder="1" applyAlignment="1">
      <alignment horizontal="center"/>
    </xf>
    <xf numFmtId="3" fontId="17" fillId="0" borderId="0" xfId="0" applyNumberFormat="1" applyFont="1" applyAlignment="1">
      <alignment horizontal="center"/>
    </xf>
    <xf numFmtId="3" fontId="17" fillId="0" borderId="17" xfId="0" applyNumberFormat="1" applyFont="1" applyFill="1" applyBorder="1" applyAlignment="1">
      <alignment horizontal="center"/>
    </xf>
    <xf numFmtId="3" fontId="16" fillId="0" borderId="0" xfId="0" applyNumberFormat="1" applyFont="1" applyAlignment="1"/>
    <xf numFmtId="0" fontId="17" fillId="0" borderId="10" xfId="39" applyFont="1" applyFill="1" applyBorder="1" applyAlignment="1">
      <alignment horizontal="center" wrapText="1"/>
    </xf>
    <xf numFmtId="173" fontId="17" fillId="0" borderId="10" xfId="28" applyNumberFormat="1" applyFont="1" applyFill="1" applyBorder="1"/>
    <xf numFmtId="173" fontId="17" fillId="0" borderId="43" xfId="0" applyNumberFormat="1" applyFont="1" applyBorder="1" applyAlignment="1">
      <alignment horizontal="center"/>
    </xf>
    <xf numFmtId="0" fontId="72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9" fontId="10" fillId="0" borderId="0" xfId="43" applyFont="1" applyProtection="1"/>
    <xf numFmtId="0" fontId="77" fillId="0" borderId="0" xfId="0" applyFont="1" applyBorder="1"/>
    <xf numFmtId="41" fontId="77" fillId="22" borderId="26" xfId="0" applyNumberFormat="1" applyFont="1" applyFill="1" applyBorder="1" applyAlignment="1">
      <alignment horizontal="right"/>
    </xf>
    <xf numFmtId="0" fontId="77" fillId="22" borderId="50" xfId="0" applyFont="1" applyFill="1" applyBorder="1"/>
    <xf numFmtId="14" fontId="72" fillId="18" borderId="26" xfId="0" applyNumberFormat="1" applyFont="1" applyFill="1" applyBorder="1" applyProtection="1"/>
    <xf numFmtId="7" fontId="16" fillId="21" borderId="0" xfId="0" applyNumberFormat="1" applyFont="1" applyFill="1" applyBorder="1"/>
    <xf numFmtId="0" fontId="16" fillId="21" borderId="0" xfId="0" applyFont="1" applyFill="1" applyBorder="1"/>
    <xf numFmtId="0" fontId="96" fillId="21" borderId="0" xfId="0" applyFont="1" applyFill="1" applyProtection="1"/>
    <xf numFmtId="175" fontId="97" fillId="21" borderId="0" xfId="0" applyNumberFormat="1" applyFont="1" applyFill="1" applyBorder="1" applyProtection="1"/>
    <xf numFmtId="0" fontId="97" fillId="21" borderId="0" xfId="0" applyFont="1" applyFill="1" applyAlignment="1" applyProtection="1">
      <protection locked="0"/>
    </xf>
    <xf numFmtId="10" fontId="98" fillId="21" borderId="0" xfId="0" applyNumberFormat="1" applyFont="1" applyFill="1" applyProtection="1"/>
    <xf numFmtId="1" fontId="0" fillId="0" borderId="0" xfId="0" applyNumberFormat="1"/>
    <xf numFmtId="0" fontId="6" fillId="0" borderId="0" xfId="0" applyFont="1" applyAlignment="1" applyProtection="1">
      <alignment horizontal="centerContinuous"/>
    </xf>
    <xf numFmtId="0" fontId="17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21" xfId="0" applyFont="1" applyBorder="1" applyAlignme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6" fillId="0" borderId="12" xfId="0" applyFont="1" applyBorder="1" applyAlignment="1" applyProtection="1">
      <alignment horizontal="right" indent="1"/>
    </xf>
    <xf numFmtId="0" fontId="6" fillId="0" borderId="12" xfId="0" applyFont="1" applyFill="1" applyBorder="1" applyProtection="1"/>
    <xf numFmtId="10" fontId="6" fillId="0" borderId="12" xfId="0" applyNumberFormat="1" applyFont="1" applyBorder="1" applyProtection="1"/>
    <xf numFmtId="0" fontId="6" fillId="0" borderId="0" xfId="0" applyFont="1" applyFill="1" applyProtection="1"/>
    <xf numFmtId="5" fontId="12" fillId="0" borderId="0" xfId="0" applyNumberFormat="1" applyFont="1" applyFill="1" applyProtection="1">
      <protection locked="0"/>
    </xf>
    <xf numFmtId="0" fontId="17" fillId="0" borderId="0" xfId="0" applyFont="1" applyAlignment="1"/>
    <xf numFmtId="10" fontId="3" fillId="0" borderId="0" xfId="0" applyNumberFormat="1" applyFont="1"/>
    <xf numFmtId="10" fontId="17" fillId="0" borderId="0" xfId="0" applyNumberFormat="1" applyFont="1" applyBorder="1"/>
    <xf numFmtId="7" fontId="90" fillId="0" borderId="0" xfId="0" applyNumberFormat="1" applyFont="1"/>
    <xf numFmtId="0" fontId="17" fillId="18" borderId="17" xfId="0" applyFont="1" applyFill="1" applyBorder="1"/>
    <xf numFmtId="2" fontId="17" fillId="0" borderId="0" xfId="0" applyNumberFormat="1" applyFont="1" applyBorder="1"/>
    <xf numFmtId="5" fontId="17" fillId="0" borderId="0" xfId="0" quotePrefix="1" applyNumberFormat="1" applyFont="1" applyBorder="1" applyProtection="1"/>
    <xf numFmtId="173" fontId="17" fillId="0" borderId="0" xfId="52" applyNumberFormat="1" applyFont="1" applyBorder="1" applyAlignment="1">
      <alignment horizontal="right"/>
    </xf>
    <xf numFmtId="5" fontId="17" fillId="0" borderId="0" xfId="0" applyNumberFormat="1" applyFont="1" applyBorder="1" applyProtection="1">
      <protection hidden="1"/>
    </xf>
    <xf numFmtId="0" fontId="17" fillId="0" borderId="0" xfId="0" applyFont="1" applyProtection="1">
      <protection hidden="1"/>
    </xf>
    <xf numFmtId="0" fontId="17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horizontal="right"/>
      <protection hidden="1"/>
    </xf>
    <xf numFmtId="10" fontId="17" fillId="18" borderId="17" xfId="0" applyNumberFormat="1" applyFont="1" applyFill="1" applyBorder="1" applyProtection="1">
      <protection hidden="1"/>
    </xf>
    <xf numFmtId="49" fontId="17" fillId="0" borderId="0" xfId="0" quotePrefix="1" applyNumberFormat="1" applyFont="1" applyBorder="1" applyAlignment="1" applyProtection="1">
      <alignment horizontal="right"/>
      <protection hidden="1"/>
    </xf>
    <xf numFmtId="10" fontId="17" fillId="0" borderId="0" xfId="0" applyNumberFormat="1" applyFont="1" applyFill="1" applyBorder="1" applyProtection="1">
      <protection hidden="1"/>
    </xf>
    <xf numFmtId="5" fontId="17" fillId="0" borderId="0" xfId="0" applyNumberFormat="1" applyFont="1"/>
    <xf numFmtId="9" fontId="17" fillId="0" borderId="0" xfId="0" applyNumberFormat="1" applyFont="1" applyAlignment="1">
      <alignment horizontal="center"/>
    </xf>
    <xf numFmtId="7" fontId="17" fillId="0" borderId="0" xfId="0" applyNumberFormat="1" applyFont="1"/>
    <xf numFmtId="7" fontId="31" fillId="0" borderId="0" xfId="0" applyNumberFormat="1" applyFont="1"/>
    <xf numFmtId="10" fontId="70" fillId="0" borderId="0" xfId="51" applyNumberFormat="1" applyFont="1"/>
    <xf numFmtId="0" fontId="17" fillId="0" borderId="16" xfId="0" applyFont="1" applyBorder="1"/>
    <xf numFmtId="5" fontId="17" fillId="0" borderId="16" xfId="0" applyNumberFormat="1" applyFont="1" applyBorder="1" applyProtection="1"/>
    <xf numFmtId="0" fontId="3" fillId="0" borderId="0" xfId="0" applyFont="1"/>
    <xf numFmtId="44" fontId="16" fillId="0" borderId="0" xfId="53" applyFont="1"/>
    <xf numFmtId="10" fontId="17" fillId="18" borderId="17" xfId="53" applyNumberFormat="1" applyFont="1" applyFill="1" applyBorder="1"/>
    <xf numFmtId="0" fontId="17" fillId="0" borderId="0" xfId="0" applyFont="1" applyAlignment="1">
      <alignment horizontal="right" wrapText="1"/>
    </xf>
    <xf numFmtId="10" fontId="17" fillId="0" borderId="0" xfId="0" applyNumberFormat="1" applyFont="1" applyFill="1"/>
    <xf numFmtId="10" fontId="17" fillId="0" borderId="0" xfId="0" applyNumberFormat="1" applyFont="1"/>
    <xf numFmtId="10" fontId="17" fillId="0" borderId="0" xfId="51" applyNumberFormat="1" applyFont="1" applyBorder="1" applyProtection="1"/>
    <xf numFmtId="173" fontId="17" fillId="0" borderId="0" xfId="52" applyNumberFormat="1" applyFont="1" applyFill="1"/>
    <xf numFmtId="173" fontId="16" fillId="0" borderId="0" xfId="52" applyNumberFormat="1" applyFont="1"/>
    <xf numFmtId="10" fontId="17" fillId="0" borderId="0" xfId="51" applyNumberFormat="1" applyFont="1" applyBorder="1"/>
    <xf numFmtId="44" fontId="17" fillId="0" borderId="0" xfId="53" applyFont="1" applyBorder="1"/>
    <xf numFmtId="168" fontId="17" fillId="0" borderId="0" xfId="51" applyNumberFormat="1" applyFont="1"/>
    <xf numFmtId="44" fontId="17" fillId="0" borderId="0" xfId="53" applyFont="1"/>
    <xf numFmtId="44" fontId="17" fillId="0" borderId="0" xfId="0" applyNumberFormat="1" applyFont="1"/>
    <xf numFmtId="0" fontId="17" fillId="0" borderId="21" xfId="0" applyFont="1" applyFill="1" applyBorder="1"/>
    <xf numFmtId="0" fontId="6" fillId="0" borderId="0" xfId="0" applyFont="1" applyFill="1" applyBorder="1" applyAlignment="1" applyProtection="1">
      <alignment horizontal="centerContinuous"/>
    </xf>
    <xf numFmtId="0" fontId="17" fillId="0" borderId="22" xfId="0" applyFont="1" applyFill="1" applyBorder="1"/>
    <xf numFmtId="10" fontId="3" fillId="0" borderId="12" xfId="0" applyNumberFormat="1" applyFont="1" applyFill="1" applyBorder="1"/>
    <xf numFmtId="0" fontId="79" fillId="0" borderId="0" xfId="0" applyFont="1" applyFill="1" applyBorder="1" applyProtection="1"/>
    <xf numFmtId="0" fontId="17" fillId="0" borderId="10" xfId="0" applyFont="1" applyFill="1" applyBorder="1"/>
    <xf numFmtId="170" fontId="6" fillId="0" borderId="12" xfId="0" applyNumberFormat="1" applyFont="1" applyFill="1" applyBorder="1" applyAlignment="1" applyProtection="1">
      <alignment horizontal="centerContinuous"/>
    </xf>
    <xf numFmtId="0" fontId="6" fillId="0" borderId="20" xfId="0" applyFont="1" applyFill="1" applyBorder="1" applyAlignment="1" applyProtection="1">
      <alignment horizontal="centerContinuous"/>
    </xf>
    <xf numFmtId="170" fontId="6" fillId="0" borderId="20" xfId="0" applyNumberFormat="1" applyFont="1" applyFill="1" applyBorder="1" applyAlignment="1" applyProtection="1">
      <alignment horizontal="centerContinuous"/>
    </xf>
    <xf numFmtId="173" fontId="16" fillId="0" borderId="20" xfId="52" applyNumberFormat="1" applyFont="1" applyFill="1" applyBorder="1"/>
    <xf numFmtId="0" fontId="6" fillId="0" borderId="20" xfId="0" applyFont="1" applyFill="1" applyBorder="1" applyProtection="1"/>
    <xf numFmtId="0" fontId="17" fillId="0" borderId="20" xfId="0" applyFont="1" applyFill="1" applyBorder="1"/>
    <xf numFmtId="0" fontId="17" fillId="0" borderId="15" xfId="0" applyFont="1" applyFill="1" applyBorder="1"/>
    <xf numFmtId="0" fontId="6" fillId="0" borderId="21" xfId="0" applyFont="1" applyFill="1" applyBorder="1" applyAlignment="1" applyProtection="1">
      <alignment horizontal="centerContinuous"/>
    </xf>
    <xf numFmtId="170" fontId="6" fillId="0" borderId="21" xfId="0" applyNumberFormat="1" applyFont="1" applyFill="1" applyBorder="1" applyAlignment="1" applyProtection="1">
      <alignment horizontal="centerContinuous"/>
    </xf>
    <xf numFmtId="173" fontId="16" fillId="0" borderId="21" xfId="52" applyNumberFormat="1" applyFont="1" applyFill="1" applyBorder="1"/>
    <xf numFmtId="0" fontId="6" fillId="0" borderId="21" xfId="0" applyFont="1" applyFill="1" applyBorder="1" applyProtection="1"/>
    <xf numFmtId="0" fontId="17" fillId="0" borderId="28" xfId="0" applyFont="1" applyFill="1" applyBorder="1"/>
    <xf numFmtId="173" fontId="16" fillId="0" borderId="0" xfId="52" applyNumberFormat="1" applyFont="1" applyFill="1" applyBorder="1"/>
    <xf numFmtId="0" fontId="17" fillId="0" borderId="12" xfId="0" applyFont="1" applyFill="1" applyBorder="1"/>
    <xf numFmtId="1" fontId="17" fillId="0" borderId="0" xfId="0" applyNumberFormat="1" applyFont="1" applyFill="1" applyBorder="1"/>
    <xf numFmtId="173" fontId="26" fillId="0" borderId="0" xfId="52" applyNumberFormat="1" applyFont="1" applyFill="1" applyBorder="1"/>
    <xf numFmtId="0" fontId="17" fillId="0" borderId="14" xfId="0" applyFont="1" applyFill="1" applyBorder="1"/>
    <xf numFmtId="0" fontId="17" fillId="0" borderId="20" xfId="0" applyFont="1" applyBorder="1"/>
    <xf numFmtId="0" fontId="17" fillId="0" borderId="18" xfId="0" applyFont="1" applyFill="1" applyBorder="1"/>
    <xf numFmtId="10" fontId="17" fillId="0" borderId="0" xfId="51" applyNumberFormat="1" applyFont="1" applyAlignment="1">
      <alignment vertical="center"/>
    </xf>
    <xf numFmtId="170" fontId="6" fillId="0" borderId="0" xfId="0" applyNumberFormat="1" applyFont="1" applyAlignment="1" applyProtection="1">
      <alignment horizontal="centerContinuous"/>
    </xf>
    <xf numFmtId="37" fontId="17" fillId="0" borderId="0" xfId="0" applyNumberFormat="1" applyFont="1"/>
    <xf numFmtId="170" fontId="6" fillId="0" borderId="0" xfId="0" applyNumberFormat="1" applyFont="1" applyAlignment="1" applyProtection="1">
      <alignment horizontal="center"/>
    </xf>
    <xf numFmtId="41" fontId="5" fillId="18" borderId="31" xfId="0" applyNumberFormat="1" applyFont="1" applyFill="1" applyBorder="1" applyProtection="1"/>
    <xf numFmtId="6" fontId="6" fillId="0" borderId="0" xfId="0" applyNumberFormat="1" applyFont="1" applyProtection="1"/>
    <xf numFmtId="176" fontId="17" fillId="0" borderId="0" xfId="0" applyNumberFormat="1" applyFont="1"/>
    <xf numFmtId="3" fontId="17" fillId="0" borderId="12" xfId="52" applyNumberFormat="1" applyFont="1" applyBorder="1" applyProtection="1"/>
    <xf numFmtId="8" fontId="6" fillId="0" borderId="0" xfId="0" applyNumberFormat="1" applyFont="1" applyProtection="1"/>
    <xf numFmtId="9" fontId="17" fillId="18" borderId="17" xfId="51" applyFont="1" applyFill="1" applyBorder="1"/>
    <xf numFmtId="3" fontId="6" fillId="0" borderId="0" xfId="0" applyNumberFormat="1" applyFont="1" applyBorder="1" applyProtection="1"/>
    <xf numFmtId="175" fontId="70" fillId="0" borderId="0" xfId="53" applyNumberFormat="1" applyFont="1" applyBorder="1" applyProtection="1"/>
    <xf numFmtId="173" fontId="6" fillId="0" borderId="0" xfId="52" applyNumberFormat="1" applyFont="1" applyAlignment="1" applyProtection="1">
      <alignment horizontal="left"/>
    </xf>
    <xf numFmtId="175" fontId="17" fillId="0" borderId="0" xfId="0" applyNumberFormat="1" applyFont="1"/>
    <xf numFmtId="41" fontId="6" fillId="0" borderId="12" xfId="0" applyNumberFormat="1" applyFont="1" applyBorder="1" applyProtection="1"/>
    <xf numFmtId="173" fontId="6" fillId="0" borderId="12" xfId="0" applyNumberFormat="1" applyFont="1" applyBorder="1" applyProtection="1"/>
    <xf numFmtId="0" fontId="6" fillId="0" borderId="13" xfId="0" applyFont="1" applyFill="1" applyBorder="1" applyProtection="1"/>
    <xf numFmtId="168" fontId="6" fillId="0" borderId="0" xfId="0" applyNumberFormat="1" applyFont="1" applyProtection="1"/>
    <xf numFmtId="39" fontId="6" fillId="0" borderId="0" xfId="0" applyNumberFormat="1" applyFont="1" applyAlignment="1" applyProtection="1">
      <alignment horizontal="center"/>
    </xf>
    <xf numFmtId="41" fontId="6" fillId="0" borderId="0" xfId="0" applyNumberFormat="1" applyFont="1" applyFill="1" applyProtection="1"/>
    <xf numFmtId="0" fontId="6" fillId="0" borderId="0" xfId="0" applyFont="1" applyFill="1" applyAlignment="1" applyProtection="1">
      <alignment horizontal="right"/>
    </xf>
    <xf numFmtId="37" fontId="6" fillId="0" borderId="0" xfId="0" applyNumberFormat="1" applyFont="1" applyFill="1" applyAlignment="1" applyProtection="1">
      <alignment horizontal="right"/>
    </xf>
    <xf numFmtId="7" fontId="6" fillId="0" borderId="0" xfId="0" applyNumberFormat="1" applyFont="1" applyFill="1" applyProtection="1"/>
    <xf numFmtId="9" fontId="6" fillId="0" borderId="0" xfId="0" applyNumberFormat="1" applyFont="1" applyFill="1" applyProtection="1"/>
    <xf numFmtId="10" fontId="6" fillId="0" borderId="0" xfId="0" applyNumberFormat="1" applyFont="1" applyFill="1" applyProtection="1"/>
    <xf numFmtId="37" fontId="6" fillId="0" borderId="0" xfId="0" applyNumberFormat="1" applyFont="1" applyFill="1" applyProtection="1"/>
    <xf numFmtId="168" fontId="66" fillId="0" borderId="0" xfId="0" applyNumberFormat="1" applyFont="1" applyProtection="1"/>
    <xf numFmtId="9" fontId="66" fillId="0" borderId="0" xfId="0" applyNumberFormat="1" applyFont="1" applyProtection="1"/>
    <xf numFmtId="10" fontId="66" fillId="0" borderId="0" xfId="0" applyNumberFormat="1" applyFont="1" applyProtection="1"/>
    <xf numFmtId="39" fontId="66" fillId="0" borderId="0" xfId="0" applyNumberFormat="1" applyFont="1" applyAlignment="1" applyProtection="1">
      <alignment horizontal="center"/>
    </xf>
    <xf numFmtId="0" fontId="34" fillId="0" borderId="12" xfId="0" applyFont="1" applyBorder="1" applyProtection="1"/>
    <xf numFmtId="0" fontId="34" fillId="0" borderId="10" xfId="0" applyFont="1" applyBorder="1" applyProtection="1"/>
    <xf numFmtId="175" fontId="17" fillId="0" borderId="0" xfId="0" applyNumberFormat="1" applyFont="1" applyProtection="1"/>
    <xf numFmtId="2" fontId="17" fillId="0" borderId="12" xfId="0" applyNumberFormat="1" applyFont="1" applyBorder="1" applyProtection="1"/>
    <xf numFmtId="0" fontId="29" fillId="0" borderId="13" xfId="0" applyFont="1" applyBorder="1" applyProtection="1"/>
    <xf numFmtId="0" fontId="3" fillId="0" borderId="12" xfId="0" applyFont="1" applyBorder="1" applyProtection="1"/>
    <xf numFmtId="0" fontId="100" fillId="0" borderId="0" xfId="0" applyFont="1" applyProtection="1"/>
    <xf numFmtId="43" fontId="17" fillId="0" borderId="0" xfId="0" applyNumberFormat="1" applyFont="1" applyProtection="1"/>
    <xf numFmtId="175" fontId="100" fillId="0" borderId="0" xfId="0" applyNumberFormat="1" applyFont="1" applyProtection="1"/>
    <xf numFmtId="9" fontId="100" fillId="0" borderId="0" xfId="0" applyNumberFormat="1" applyFont="1" applyProtection="1"/>
    <xf numFmtId="0" fontId="17" fillId="0" borderId="53" xfId="0" applyFont="1" applyBorder="1" applyProtection="1"/>
    <xf numFmtId="168" fontId="17" fillId="0" borderId="54" xfId="51" applyNumberFormat="1" applyFont="1" applyBorder="1" applyProtection="1"/>
    <xf numFmtId="0" fontId="17" fillId="0" borderId="55" xfId="0" applyFont="1" applyBorder="1" applyProtection="1"/>
    <xf numFmtId="41" fontId="17" fillId="18" borderId="56" xfId="0" applyNumberFormat="1" applyFont="1" applyFill="1" applyBorder="1" applyProtection="1"/>
    <xf numFmtId="173" fontId="17" fillId="0" borderId="12" xfId="52" applyNumberFormat="1" applyFont="1" applyBorder="1" applyProtection="1"/>
    <xf numFmtId="173" fontId="17" fillId="0" borderId="10" xfId="52" applyNumberFormat="1" applyFont="1" applyBorder="1" applyProtection="1"/>
    <xf numFmtId="41" fontId="17" fillId="0" borderId="10" xfId="0" applyNumberFormat="1" applyFont="1" applyBorder="1" applyProtection="1"/>
    <xf numFmtId="0" fontId="40" fillId="0" borderId="0" xfId="0" applyFont="1" applyFill="1"/>
    <xf numFmtId="9" fontId="40" fillId="0" borderId="0" xfId="51" applyFont="1" applyFill="1"/>
    <xf numFmtId="43" fontId="6" fillId="0" borderId="0" xfId="0" applyNumberFormat="1" applyFont="1" applyProtection="1"/>
    <xf numFmtId="0" fontId="66" fillId="0" borderId="13" xfId="0" applyFont="1" applyBorder="1" applyProtection="1"/>
    <xf numFmtId="41" fontId="66" fillId="18" borderId="13" xfId="0" applyNumberFormat="1" applyFont="1" applyFill="1" applyBorder="1"/>
    <xf numFmtId="0" fontId="78" fillId="0" borderId="0" xfId="0" applyFont="1" applyFill="1" applyProtection="1"/>
    <xf numFmtId="173" fontId="40" fillId="0" borderId="0" xfId="0" applyNumberFormat="1" applyFont="1" applyFill="1" applyProtection="1"/>
    <xf numFmtId="168" fontId="40" fillId="0" borderId="0" xfId="51" applyNumberFormat="1" applyFont="1" applyFill="1" applyProtection="1"/>
    <xf numFmtId="43" fontId="73" fillId="0" borderId="0" xfId="0" applyNumberFormat="1" applyFont="1" applyFill="1" applyProtection="1"/>
    <xf numFmtId="0" fontId="101" fillId="0" borderId="0" xfId="0" applyFont="1" applyProtection="1"/>
    <xf numFmtId="0" fontId="29" fillId="0" borderId="13" xfId="0" applyFont="1" applyFill="1" applyBorder="1" applyAlignment="1" applyProtection="1">
      <alignment horizontal="right"/>
    </xf>
    <xf numFmtId="5" fontId="3" fillId="0" borderId="12" xfId="0" applyNumberFormat="1" applyFont="1" applyBorder="1" applyProtection="1"/>
    <xf numFmtId="0" fontId="17" fillId="0" borderId="10" xfId="0" applyFont="1" applyFill="1" applyBorder="1" applyAlignment="1" applyProtection="1">
      <alignment horizontal="right"/>
    </xf>
    <xf numFmtId="10" fontId="29" fillId="0" borderId="0" xfId="0" applyNumberFormat="1" applyFont="1" applyProtection="1"/>
    <xf numFmtId="168" fontId="3" fillId="0" borderId="12" xfId="0" applyNumberFormat="1" applyFont="1" applyBorder="1" applyProtection="1"/>
    <xf numFmtId="10" fontId="16" fillId="0" borderId="12" xfId="0" applyNumberFormat="1" applyFont="1" applyBorder="1" applyProtection="1"/>
    <xf numFmtId="0" fontId="16" fillId="0" borderId="10" xfId="0" applyFont="1" applyBorder="1" applyProtection="1"/>
    <xf numFmtId="10" fontId="17" fillId="0" borderId="12" xfId="0" applyNumberFormat="1" applyFont="1" applyBorder="1"/>
    <xf numFmtId="9" fontId="17" fillId="0" borderId="0" xfId="0" applyNumberFormat="1" applyFont="1" applyFill="1"/>
    <xf numFmtId="0" fontId="29" fillId="0" borderId="25" xfId="0" applyFont="1" applyBorder="1" applyProtection="1"/>
    <xf numFmtId="0" fontId="17" fillId="0" borderId="14" xfId="0" applyFont="1" applyBorder="1" applyProtection="1"/>
    <xf numFmtId="41" fontId="16" fillId="0" borderId="25" xfId="0" applyNumberFormat="1" applyFont="1" applyBorder="1" applyProtection="1"/>
    <xf numFmtId="41" fontId="90" fillId="0" borderId="0" xfId="0" applyNumberFormat="1" applyFont="1" applyFill="1" applyProtection="1"/>
    <xf numFmtId="8" fontId="17" fillId="0" borderId="0" xfId="0" applyNumberFormat="1" applyFont="1" applyFill="1"/>
    <xf numFmtId="0" fontId="16" fillId="0" borderId="0" xfId="0" applyFont="1" applyProtection="1"/>
    <xf numFmtId="173" fontId="17" fillId="0" borderId="0" xfId="52" applyNumberFormat="1" applyFont="1" applyProtection="1"/>
    <xf numFmtId="10" fontId="17" fillId="0" borderId="0" xfId="51" applyNumberFormat="1" applyFont="1" applyProtection="1"/>
    <xf numFmtId="43" fontId="77" fillId="0" borderId="0" xfId="0" applyNumberFormat="1" applyFont="1" applyFill="1" applyProtection="1"/>
    <xf numFmtId="8" fontId="17" fillId="0" borderId="0" xfId="0" applyNumberFormat="1" applyFont="1"/>
    <xf numFmtId="43" fontId="77" fillId="0" borderId="0" xfId="0" applyNumberFormat="1" applyFont="1" applyFill="1"/>
    <xf numFmtId="170" fontId="17" fillId="0" borderId="0" xfId="0" applyNumberFormat="1" applyFont="1" applyFill="1"/>
    <xf numFmtId="6" fontId="17" fillId="0" borderId="0" xfId="0" applyNumberFormat="1" applyFont="1" applyFill="1"/>
    <xf numFmtId="6" fontId="17" fillId="0" borderId="0" xfId="0" applyNumberFormat="1" applyFont="1" applyFill="1" applyBorder="1" applyProtection="1"/>
    <xf numFmtId="6" fontId="17" fillId="0" borderId="0" xfId="51" applyNumberFormat="1" applyFont="1" applyFill="1" applyBorder="1" applyProtection="1"/>
    <xf numFmtId="43" fontId="31" fillId="0" borderId="0" xfId="0" applyNumberFormat="1" applyFont="1" applyFill="1" applyBorder="1" applyProtection="1"/>
    <xf numFmtId="175" fontId="16" fillId="21" borderId="0" xfId="0" applyNumberFormat="1" applyFont="1" applyFill="1" applyBorder="1" applyProtection="1"/>
    <xf numFmtId="0" fontId="66" fillId="0" borderId="0" xfId="0" applyFont="1" applyAlignment="1">
      <alignment horizontal="right"/>
    </xf>
    <xf numFmtId="9" fontId="35" fillId="0" borderId="0" xfId="51" applyFont="1" applyAlignment="1">
      <alignment horizontal="left"/>
    </xf>
    <xf numFmtId="175" fontId="3" fillId="0" borderId="0" xfId="0" applyNumberFormat="1" applyFont="1" applyFill="1" applyBorder="1"/>
    <xf numFmtId="6" fontId="26" fillId="0" borderId="0" xfId="0" applyNumberFormat="1" applyFont="1" applyFill="1" applyBorder="1" applyAlignment="1" applyProtection="1">
      <alignment horizontal="left"/>
    </xf>
    <xf numFmtId="41" fontId="17" fillId="0" borderId="0" xfId="0" applyNumberFormat="1" applyFont="1" applyFill="1" applyAlignment="1"/>
    <xf numFmtId="6" fontId="16" fillId="0" borderId="0" xfId="0" quotePrefix="1" applyNumberFormat="1" applyFont="1" applyFill="1" applyBorder="1" applyProtection="1"/>
    <xf numFmtId="170" fontId="31" fillId="0" borderId="0" xfId="51" applyNumberFormat="1" applyFont="1" applyFill="1" applyBorder="1" applyProtection="1"/>
    <xf numFmtId="168" fontId="17" fillId="0" borderId="0" xfId="51" applyNumberFormat="1" applyFont="1" applyFill="1" applyBorder="1" applyProtection="1"/>
    <xf numFmtId="173" fontId="34" fillId="0" borderId="0" xfId="52" applyNumberFormat="1" applyFont="1" applyProtection="1"/>
    <xf numFmtId="16" fontId="17" fillId="0" borderId="0" xfId="0" quotePrefix="1" applyNumberFormat="1" applyFont="1" applyFill="1" applyBorder="1" applyProtection="1"/>
    <xf numFmtId="0" fontId="11" fillId="0" borderId="0" xfId="0" applyFont="1" applyProtection="1"/>
    <xf numFmtId="165" fontId="11" fillId="0" borderId="0" xfId="0" applyNumberFormat="1" applyFont="1" applyFill="1" applyBorder="1" applyAlignment="1" applyProtection="1">
      <alignment horizontal="left"/>
    </xf>
    <xf numFmtId="6" fontId="17" fillId="0" borderId="0" xfId="0" applyNumberFormat="1" applyFont="1" applyFill="1" applyBorder="1"/>
    <xf numFmtId="173" fontId="17" fillId="0" borderId="0" xfId="52" applyNumberFormat="1" applyFont="1" applyAlignment="1">
      <alignment horizontal="right"/>
    </xf>
    <xf numFmtId="8" fontId="17" fillId="0" borderId="0" xfId="0" applyNumberFormat="1" applyFont="1" applyFill="1" applyBorder="1"/>
    <xf numFmtId="0" fontId="70" fillId="0" borderId="0" xfId="0" applyFont="1" applyAlignment="1">
      <alignment horizontal="right"/>
    </xf>
    <xf numFmtId="173" fontId="70" fillId="0" borderId="0" xfId="28" applyNumberFormat="1" applyFont="1"/>
    <xf numFmtId="5" fontId="70" fillId="0" borderId="0" xfId="0" applyNumberFormat="1" applyFont="1" applyFill="1" applyAlignment="1"/>
    <xf numFmtId="9" fontId="94" fillId="0" borderId="0" xfId="43" applyFont="1"/>
    <xf numFmtId="173" fontId="84" fillId="0" borderId="0" xfId="0" applyNumberFormat="1" applyFont="1"/>
    <xf numFmtId="44" fontId="0" fillId="0" borderId="0" xfId="29" applyFont="1"/>
    <xf numFmtId="8" fontId="17" fillId="0" borderId="0" xfId="0" applyNumberFormat="1" applyFont="1" applyFill="1" applyBorder="1" applyProtection="1"/>
    <xf numFmtId="175" fontId="16" fillId="0" borderId="0" xfId="0" applyNumberFormat="1" applyFont="1" applyFill="1" applyBorder="1" applyProtection="1"/>
    <xf numFmtId="5" fontId="17" fillId="0" borderId="0" xfId="0" applyNumberFormat="1" applyFont="1" applyFill="1"/>
    <xf numFmtId="3" fontId="17" fillId="0" borderId="0" xfId="50" applyNumberFormat="1" applyFont="1" applyFill="1" applyBorder="1" applyAlignment="1">
      <alignment horizontal="center"/>
    </xf>
    <xf numFmtId="0" fontId="17" fillId="0" borderId="0" xfId="50" applyFont="1" applyFill="1" applyBorder="1" applyAlignment="1" applyProtection="1">
      <alignment horizontal="center"/>
    </xf>
    <xf numFmtId="3" fontId="17" fillId="18" borderId="26" xfId="50" applyNumberFormat="1" applyFont="1" applyFill="1" applyBorder="1" applyAlignment="1">
      <alignment horizontal="center"/>
    </xf>
    <xf numFmtId="3" fontId="17" fillId="18" borderId="31" xfId="50" applyNumberFormat="1" applyFont="1" applyFill="1" applyBorder="1" applyAlignment="1">
      <alignment horizontal="center"/>
    </xf>
    <xf numFmtId="0" fontId="16" fillId="0" borderId="23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centerContinuous"/>
    </xf>
    <xf numFmtId="170" fontId="17" fillId="0" borderId="0" xfId="0" applyNumberFormat="1" applyFont="1" applyFill="1" applyBorder="1" applyAlignment="1" applyProtection="1">
      <alignment horizontal="centerContinuous"/>
    </xf>
    <xf numFmtId="0" fontId="102" fillId="0" borderId="12" xfId="0" applyFont="1" applyFill="1" applyBorder="1" applyAlignment="1" applyProtection="1">
      <alignment horizontal="centerContinuous"/>
    </xf>
    <xf numFmtId="0" fontId="24" fillId="0" borderId="0" xfId="0" applyFont="1" applyFill="1" applyBorder="1" applyAlignment="1" applyProtection="1">
      <alignment horizontal="center"/>
    </xf>
    <xf numFmtId="1" fontId="17" fillId="0" borderId="0" xfId="50" applyNumberFormat="1" applyFont="1" applyFill="1" applyBorder="1" applyAlignment="1" applyProtection="1">
      <alignment horizontal="center"/>
    </xf>
    <xf numFmtId="0" fontId="16" fillId="0" borderId="12" xfId="0" applyFont="1" applyFill="1" applyBorder="1" applyAlignment="1" applyProtection="1">
      <alignment horizontal="right"/>
    </xf>
    <xf numFmtId="164" fontId="16" fillId="0" borderId="0" xfId="0" applyNumberFormat="1" applyFont="1" applyFill="1" applyBorder="1" applyAlignment="1" applyProtection="1">
      <alignment horizontal="center"/>
    </xf>
    <xf numFmtId="164" fontId="17" fillId="0" borderId="0" xfId="0" applyNumberFormat="1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9" fontId="16" fillId="0" borderId="0" xfId="51" applyFont="1" applyFill="1" applyBorder="1"/>
    <xf numFmtId="3" fontId="17" fillId="0" borderId="0" xfId="0" applyNumberFormat="1" applyFont="1" applyBorder="1"/>
    <xf numFmtId="9" fontId="17" fillId="0" borderId="0" xfId="43" applyFont="1" applyBorder="1"/>
    <xf numFmtId="10" fontId="57" fillId="0" borderId="12" xfId="0" applyNumberFormat="1" applyFont="1" applyFill="1" applyBorder="1"/>
    <xf numFmtId="37" fontId="103" fillId="0" borderId="0" xfId="0" applyNumberFormat="1" applyFont="1" applyFill="1" applyBorder="1"/>
    <xf numFmtId="0" fontId="99" fillId="0" borderId="0" xfId="0" applyFont="1" applyFill="1" applyBorder="1" applyProtection="1"/>
    <xf numFmtId="0" fontId="31" fillId="0" borderId="10" xfId="0" applyFont="1" applyFill="1" applyBorder="1"/>
    <xf numFmtId="37" fontId="40" fillId="0" borderId="0" xfId="0" applyNumberFormat="1" applyFont="1" applyFill="1" applyBorder="1"/>
    <xf numFmtId="3" fontId="10" fillId="0" borderId="0" xfId="0" applyNumberFormat="1" applyFont="1" applyFill="1" applyBorder="1" applyProtection="1"/>
    <xf numFmtId="0" fontId="25" fillId="0" borderId="0" xfId="0" applyFont="1" applyFill="1" applyBorder="1" applyProtection="1"/>
    <xf numFmtId="5" fontId="17" fillId="0" borderId="0" xfId="0" applyNumberFormat="1" applyFont="1" applyFill="1" applyBorder="1" applyAlignment="1" applyProtection="1">
      <alignment horizontal="right"/>
    </xf>
    <xf numFmtId="5" fontId="6" fillId="0" borderId="0" xfId="0" applyNumberFormat="1" applyFont="1" applyBorder="1" applyAlignment="1" applyProtection="1">
      <alignment horizontal="left"/>
    </xf>
    <xf numFmtId="5" fontId="16" fillId="0" borderId="0" xfId="0" applyNumberFormat="1" applyFont="1" applyBorder="1" applyAlignment="1" applyProtection="1">
      <alignment horizontal="left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52"/>
    <cellStyle name="Comma 3" xfId="56"/>
    <cellStyle name="Currency" xfId="29" builtinId="4"/>
    <cellStyle name="Currency 2" xfId="53"/>
    <cellStyle name="Currency 3" xfId="57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9"/>
    <cellStyle name="Normal 2 2" xfId="50"/>
    <cellStyle name="Normal 2 3" xfId="58"/>
    <cellStyle name="Normal 3" xfId="54"/>
    <cellStyle name="Normal 4" xfId="59"/>
    <cellStyle name="Normal_coop sale price analysis v2" xfId="39"/>
    <cellStyle name="Normal_Form F - Financing Proposal" xfId="40"/>
    <cellStyle name="Note" xfId="41" builtinId="10" customBuiltin="1"/>
    <cellStyle name="Output" xfId="42" builtinId="21" customBuiltin="1"/>
    <cellStyle name="Percent" xfId="43" builtinId="5"/>
    <cellStyle name="Percent 2" xfId="51"/>
    <cellStyle name="Percent 3" xfId="55"/>
    <cellStyle name="Style 1" xfId="44"/>
    <cellStyle name="Style 1 2" xfId="60"/>
    <cellStyle name="Style 2" xfId="45"/>
    <cellStyle name="Style 2 2" xfId="6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andy%20Rad\Local%20Settings\Temporary%20Internet%20Files\OLK18F\Casablanca%20Houses82806%2075%20k%20in%20subsidy%20(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asowpark\AppData\Local\Microsoft\Windows\Temporary%20Internet%20Files\Content.Outlook\Q8OW1IVN\Pro-Forma_Webster%20Ave,203rd_4%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lare\AppData\Local\Microsoft\Windows\Temporary%20Internet%20Files\Content.Outlook\3KG65GUE\Pro-Forma_GrandConcourse&amp;138th_4%25,07-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335PUELY\NHOP\VillageCar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omeless%20Housing%20Finance%20Models\Sept%2029%20meeting\Model%20E,%20shelter%20pro-forma,%20loans-LIHTC%20basis,11-2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335PUELY\2001%20Series%20C,%20Sept%202001\East%20148th%20Street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335PUELY\Spring%20Creek%20I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335PUELY\2001%20Series%20C,%20Sept%202001\PLP--Round%20III\670stan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335PUELY\PLP--Round%20III\670stan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\PLP\plp%20shells\Credit%20Memo%20PLP%20Shell%202006%20B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 and Uses"/>
      <sheetName val="Unit Distrib."/>
      <sheetName val="m &amp; O"/>
      <sheetName val="Devel. Bud"/>
      <sheetName val="Mort"/>
      <sheetName val="Cred Memo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Project Summary</v>
          </cell>
        </row>
        <row r="3">
          <cell r="B3" t="str">
            <v xml:space="preserve"> Project Name </v>
          </cell>
          <cell r="C3" t="str">
            <v>Casablanca</v>
          </cell>
        </row>
        <row r="4">
          <cell r="B4" t="str">
            <v xml:space="preserve"> HPD Project Manager</v>
          </cell>
          <cell r="C4" t="str">
            <v>Shawn Larson</v>
          </cell>
        </row>
        <row r="5">
          <cell r="B5" t="str">
            <v xml:space="preserve"> Formerly City-Owned Site</v>
          </cell>
        </row>
        <row r="6">
          <cell r="B6" t="str">
            <v xml:space="preserve"> HPD Program</v>
          </cell>
          <cell r="C6" t="str">
            <v>Multi-Family New Construction</v>
          </cell>
        </row>
        <row r="7">
          <cell r="B7" t="str">
            <v xml:space="preserve"> Development Category</v>
          </cell>
          <cell r="C7" t="str">
            <v>New Construction</v>
          </cell>
        </row>
        <row r="8">
          <cell r="B8" t="str">
            <v xml:space="preserve"> Occupancy Type</v>
          </cell>
          <cell r="C8" t="str">
            <v>Rental</v>
          </cell>
        </row>
        <row r="9">
          <cell r="B9" t="str">
            <v xml:space="preserve"> Number of Buildings</v>
          </cell>
          <cell r="C9">
            <v>1</v>
          </cell>
        </row>
        <row r="10">
          <cell r="B10" t="str">
            <v xml:space="preserve"> Number of Stories</v>
          </cell>
          <cell r="C10">
            <v>7</v>
          </cell>
        </row>
        <row r="15">
          <cell r="B15" t="str">
            <v>Square Footage</v>
          </cell>
          <cell r="C15" t="str">
            <v>Gross</v>
          </cell>
          <cell r="D15" t="str">
            <v>Net</v>
          </cell>
        </row>
        <row r="16">
          <cell r="B16" t="str">
            <v>Residential</v>
          </cell>
          <cell r="C16">
            <v>40220</v>
          </cell>
          <cell r="D16">
            <v>31851</v>
          </cell>
        </row>
        <row r="17">
          <cell r="B17" t="str">
            <v>Commercial/Retail</v>
          </cell>
          <cell r="C17">
            <v>8840</v>
          </cell>
        </row>
        <row r="18">
          <cell r="B18" t="str">
            <v>Community Facility</v>
          </cell>
          <cell r="C18">
            <v>0</v>
          </cell>
        </row>
        <row r="19">
          <cell r="B19" t="str">
            <v>Other</v>
          </cell>
        </row>
        <row r="21">
          <cell r="B21" t="str">
            <v>Total Square Feet</v>
          </cell>
          <cell r="C21">
            <v>49060</v>
          </cell>
          <cell r="D21">
            <v>31851</v>
          </cell>
        </row>
        <row r="25">
          <cell r="B25" t="str">
            <v>Number of Parking Spaces</v>
          </cell>
          <cell r="C25">
            <v>0</v>
          </cell>
        </row>
        <row r="30">
          <cell r="B30" t="str">
            <v>Unit Breakdown by Rent Level</v>
          </cell>
          <cell r="C30" t="str">
            <v># Units</v>
          </cell>
          <cell r="D30" t="str">
            <v>% of Total</v>
          </cell>
        </row>
        <row r="31">
          <cell r="B31" t="str">
            <v>Market Rate</v>
          </cell>
          <cell r="C31">
            <v>37</v>
          </cell>
          <cell r="D31">
            <v>0.77083333333333337</v>
          </cell>
        </row>
        <row r="32">
          <cell r="B32" t="str">
            <v>High HOME (Tax Credit)</v>
          </cell>
          <cell r="C32">
            <v>8</v>
          </cell>
          <cell r="D32">
            <v>0.16666666666666666</v>
          </cell>
        </row>
        <row r="33">
          <cell r="B33" t="str">
            <v>Low HOME (Tax Credit)</v>
          </cell>
          <cell r="C33">
            <v>3</v>
          </cell>
          <cell r="D33">
            <v>6.25E-2</v>
          </cell>
        </row>
        <row r="34">
          <cell r="B34" t="str">
            <v>Non-HOME Tax Credit</v>
          </cell>
          <cell r="C34">
            <v>0</v>
          </cell>
          <cell r="D34" t="str">
            <v/>
          </cell>
        </row>
        <row r="35">
          <cell r="B35" t="str">
            <v>Other</v>
          </cell>
          <cell r="D35" t="str">
            <v/>
          </cell>
        </row>
        <row r="36">
          <cell r="B36" t="str">
            <v xml:space="preserve">  Subtotal</v>
          </cell>
          <cell r="C36">
            <v>48</v>
          </cell>
          <cell r="D36">
            <v>1</v>
          </cell>
        </row>
        <row r="38">
          <cell r="B38" t="str">
            <v>Super's Unit</v>
          </cell>
          <cell r="C38">
            <v>0</v>
          </cell>
        </row>
        <row r="40">
          <cell r="B40" t="str">
            <v>Total Units</v>
          </cell>
          <cell r="C40">
            <v>48</v>
          </cell>
        </row>
        <row r="41">
          <cell r="B41" t="str">
            <v>Total Rooms / Average Rms/du</v>
          </cell>
          <cell r="C41">
            <v>137</v>
          </cell>
          <cell r="D41">
            <v>2.8541666666666665</v>
          </cell>
        </row>
        <row r="44">
          <cell r="B44" t="str">
            <v># of units for formerly homeless tenants</v>
          </cell>
          <cell r="D44">
            <v>0</v>
          </cell>
        </row>
        <row r="45">
          <cell r="B45" t="str">
            <v>Percentage homeless units</v>
          </cell>
          <cell r="D45">
            <v>0</v>
          </cell>
        </row>
        <row r="49">
          <cell r="B49" t="str">
            <v>Location Information</v>
          </cell>
        </row>
        <row r="50">
          <cell r="B50" t="str">
            <v>Borough &amp; Neighborhood</v>
          </cell>
          <cell r="C50" t="str">
            <v xml:space="preserve">Manhattan </v>
          </cell>
        </row>
        <row r="51">
          <cell r="B51" t="str">
            <v>Address</v>
          </cell>
          <cell r="C51" t="str">
            <v>121-125 E. 110th St</v>
          </cell>
        </row>
        <row r="52">
          <cell r="B52" t="str">
            <v>Community Board</v>
          </cell>
          <cell r="C52">
            <v>11</v>
          </cell>
        </row>
        <row r="53">
          <cell r="B53" t="str">
            <v>Block / Lot(s)</v>
          </cell>
          <cell r="C53" t="str">
            <v>1638 / 7,8,9,10</v>
          </cell>
        </row>
        <row r="57">
          <cell r="B57" t="str">
            <v>Development Team</v>
          </cell>
        </row>
        <row r="58">
          <cell r="B58" t="str">
            <v>Owner / Borrower</v>
          </cell>
          <cell r="C58" t="str">
            <v>121-125 E. 110th St, LLC, Principal Luis Perez</v>
          </cell>
        </row>
        <row r="59">
          <cell r="B59" t="str">
            <v>Community Sponsor</v>
          </cell>
          <cell r="C59" t="str">
            <v>None</v>
          </cell>
        </row>
        <row r="60">
          <cell r="B60" t="str">
            <v>General Contractor</v>
          </cell>
          <cell r="C60" t="str">
            <v>CatsPaw</v>
          </cell>
        </row>
        <row r="61">
          <cell r="B61" t="str">
            <v>Managing Agent</v>
          </cell>
          <cell r="C61" t="str">
            <v>N/A</v>
          </cell>
        </row>
        <row r="66">
          <cell r="B66" t="str">
            <v>Financing Information</v>
          </cell>
        </row>
        <row r="67">
          <cell r="B67" t="str">
            <v>Construction Lender</v>
          </cell>
          <cell r="C67" t="str">
            <v>HDC</v>
          </cell>
        </row>
        <row r="68">
          <cell r="B68" t="str">
            <v>Permanent Lender</v>
          </cell>
          <cell r="C68" t="str">
            <v>HDC</v>
          </cell>
        </row>
        <row r="69">
          <cell r="B69" t="str">
            <v>Tax Credit Syndicator</v>
          </cell>
          <cell r="C69" t="str">
            <v xml:space="preserve"> </v>
          </cell>
        </row>
        <row r="70">
          <cell r="B70" t="str">
            <v>Tax Credit Raise</v>
          </cell>
          <cell r="C70" t="e">
            <v>#REF!</v>
          </cell>
        </row>
        <row r="71">
          <cell r="B71" t="str">
            <v>Debt Coverage: First Mortgage</v>
          </cell>
          <cell r="C71">
            <v>1.2833023603196596</v>
          </cell>
          <cell r="D71" t="str">
            <v>X</v>
          </cell>
        </row>
        <row r="72">
          <cell r="B72" t="str">
            <v>Debt Coverage: All Mortgages</v>
          </cell>
          <cell r="C72">
            <v>1.1499999999999999</v>
          </cell>
          <cell r="D72" t="str">
            <v>X</v>
          </cell>
        </row>
        <row r="73">
          <cell r="B73" t="str">
            <v>Income to Expense Ratio</v>
          </cell>
          <cell r="C73">
            <v>1.1064114667335889</v>
          </cell>
          <cell r="D73" t="str">
            <v>X</v>
          </cell>
        </row>
        <row r="74">
          <cell r="B74" t="str">
            <v>Mortgage Insurer</v>
          </cell>
          <cell r="C74" t="str">
            <v>SONYMA</v>
          </cell>
        </row>
        <row r="75">
          <cell r="B75" t="str">
            <v>Permanent Loan Servicer</v>
          </cell>
          <cell r="C75" t="str">
            <v>HDC</v>
          </cell>
        </row>
        <row r="82">
          <cell r="B82" t="str">
            <v>Development Costs</v>
          </cell>
          <cell r="C82" t="str">
            <v>Total</v>
          </cell>
          <cell r="D82" t="str">
            <v>Per DU</v>
          </cell>
          <cell r="E82" t="str">
            <v>Per GSF (Residential)</v>
          </cell>
          <cell r="F82" t="str">
            <v>Per GSF (Project)</v>
          </cell>
        </row>
        <row r="83">
          <cell r="B83" t="str">
            <v>Acquisition</v>
          </cell>
          <cell r="C83">
            <v>1600000</v>
          </cell>
          <cell r="D83">
            <v>33333.333333333336</v>
          </cell>
          <cell r="E83">
            <v>39.781203381402285</v>
          </cell>
          <cell r="F83">
            <v>32.613126783530369</v>
          </cell>
        </row>
        <row r="84">
          <cell r="B84" t="str">
            <v>Demolition</v>
          </cell>
          <cell r="C84">
            <v>0</v>
          </cell>
          <cell r="D84" t="str">
            <v/>
          </cell>
          <cell r="E84" t="str">
            <v/>
          </cell>
          <cell r="F84" t="str">
            <v/>
          </cell>
        </row>
        <row r="85">
          <cell r="B85" t="str">
            <v>Total Acquisition / Demolition</v>
          </cell>
          <cell r="C85">
            <v>1600000</v>
          </cell>
          <cell r="D85">
            <v>33333.333333333336</v>
          </cell>
          <cell r="E85">
            <v>39.781203381402285</v>
          </cell>
          <cell r="F85">
            <v>32.613126783530369</v>
          </cell>
        </row>
        <row r="87">
          <cell r="B87" t="str">
            <v>Residential Portion</v>
          </cell>
          <cell r="C87">
            <v>10600000</v>
          </cell>
          <cell r="D87">
            <v>220833.33333333334</v>
          </cell>
          <cell r="E87">
            <v>263.55047240179016</v>
          </cell>
          <cell r="F87">
            <v>216.06196494088871</v>
          </cell>
        </row>
        <row r="88">
          <cell r="B88" t="str">
            <v xml:space="preserve">Commercial </v>
          </cell>
          <cell r="D88" t="str">
            <v/>
          </cell>
          <cell r="E88" t="str">
            <v/>
          </cell>
          <cell r="F88" t="str">
            <v/>
          </cell>
        </row>
        <row r="89">
          <cell r="B89" t="str">
            <v>Community</v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B90" t="str">
            <v>Parking</v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B91" t="str">
            <v xml:space="preserve">  Total Project</v>
          </cell>
          <cell r="C91">
            <v>10600000</v>
          </cell>
          <cell r="D91">
            <v>220833.33333333334</v>
          </cell>
          <cell r="E91">
            <v>263.55047240179016</v>
          </cell>
          <cell r="F91">
            <v>216.06196494088871</v>
          </cell>
        </row>
        <row r="92">
          <cell r="B92" t="str">
            <v>Contingency  ~5%</v>
          </cell>
          <cell r="C92">
            <v>530000</v>
          </cell>
          <cell r="D92">
            <v>11041.666666666666</v>
          </cell>
          <cell r="E92">
            <v>13.177523620089508</v>
          </cell>
          <cell r="F92">
            <v>10.803098247044435</v>
          </cell>
        </row>
        <row r="93">
          <cell r="B93" t="str">
            <v>Other</v>
          </cell>
          <cell r="C93">
            <v>0</v>
          </cell>
          <cell r="D93" t="str">
            <v/>
          </cell>
          <cell r="E93" t="str">
            <v/>
          </cell>
          <cell r="F93" t="str">
            <v/>
          </cell>
        </row>
        <row r="94">
          <cell r="B94" t="str">
            <v>Total Hard Costs</v>
          </cell>
          <cell r="C94">
            <v>11130000</v>
          </cell>
          <cell r="D94">
            <v>231875</v>
          </cell>
          <cell r="E94">
            <v>276.72799602187968</v>
          </cell>
          <cell r="F94">
            <v>226.86506318793315</v>
          </cell>
        </row>
        <row r="96">
          <cell r="B96" t="str">
            <v>Total Soft Costs</v>
          </cell>
          <cell r="C96">
            <v>2333748.2127187257</v>
          </cell>
          <cell r="D96">
            <v>48619.754431640118</v>
          </cell>
          <cell r="E96">
            <v>58.02457018196732</v>
          </cell>
          <cell r="F96">
            <v>47.569266463895751</v>
          </cell>
        </row>
        <row r="98">
          <cell r="B98" t="str">
            <v>Dev. Fee – Up Front</v>
          </cell>
          <cell r="C98">
            <v>0</v>
          </cell>
          <cell r="D98" t="str">
            <v/>
          </cell>
          <cell r="E98" t="str">
            <v/>
          </cell>
          <cell r="F98" t="str">
            <v/>
          </cell>
        </row>
        <row r="99">
          <cell r="B99" t="str">
            <v>Dev. Fee - Deferred</v>
          </cell>
          <cell r="C99">
            <v>0</v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B100" t="str">
            <v>Total Developer Fee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2">
          <cell r="B102" t="str">
            <v>TOTAL COSTS</v>
          </cell>
          <cell r="C102">
            <v>15063748.212718725</v>
          </cell>
          <cell r="D102">
            <v>313828.08776497346</v>
          </cell>
          <cell r="E102">
            <v>374.53376958524927</v>
          </cell>
          <cell r="F102">
            <v>307.04745643535927</v>
          </cell>
        </row>
        <row r="108">
          <cell r="B108" t="str">
            <v>Construction Period Sources of Funds</v>
          </cell>
          <cell r="C108" t="str">
            <v>Total</v>
          </cell>
          <cell r="D108" t="str">
            <v>Per DU</v>
          </cell>
          <cell r="E108" t="str">
            <v>% of TDC</v>
          </cell>
        </row>
        <row r="109">
          <cell r="B109" t="str">
            <v>HDC First</v>
          </cell>
          <cell r="C109">
            <v>6665000</v>
          </cell>
          <cell r="D109">
            <v>138854.16666666666</v>
          </cell>
          <cell r="E109">
            <v>0.44245296096841041</v>
          </cell>
        </row>
        <row r="110">
          <cell r="B110" t="str">
            <v>HDC Second</v>
          </cell>
          <cell r="C110">
            <v>3600000</v>
          </cell>
          <cell r="D110">
            <v>75000</v>
          </cell>
          <cell r="E110">
            <v>0.23898434500919391</v>
          </cell>
        </row>
        <row r="111">
          <cell r="B111" t="str">
            <v>HPD Capital</v>
          </cell>
          <cell r="C111">
            <v>1278059.2127187252</v>
          </cell>
          <cell r="D111">
            <v>26626.233598306775</v>
          </cell>
          <cell r="E111">
            <v>8.4843373287375165E-2</v>
          </cell>
        </row>
        <row r="112">
          <cell r="B112" t="str">
            <v>HPD HOME</v>
          </cell>
          <cell r="C112">
            <v>1620689</v>
          </cell>
          <cell r="D112">
            <v>33764.354166666664</v>
          </cell>
          <cell r="E112">
            <v>0.10758869420239041</v>
          </cell>
        </row>
        <row r="113">
          <cell r="B113" t="str">
            <v>Other (specify)</v>
          </cell>
          <cell r="D113" t="str">
            <v/>
          </cell>
          <cell r="E113" t="str">
            <v/>
          </cell>
        </row>
        <row r="114">
          <cell r="B114" t="str">
            <v>Total Mortgages</v>
          </cell>
          <cell r="C114">
            <v>13163748.212718725</v>
          </cell>
          <cell r="D114">
            <v>274244.75443164009</v>
          </cell>
          <cell r="E114">
            <v>0.87386937346736993</v>
          </cell>
        </row>
        <row r="116">
          <cell r="B116" t="str">
            <v>Tax Credit Equity</v>
          </cell>
          <cell r="C116">
            <v>0</v>
          </cell>
          <cell r="D116" t="str">
            <v/>
          </cell>
          <cell r="E116" t="str">
            <v/>
          </cell>
        </row>
        <row r="117">
          <cell r="B117" t="str">
            <v>Developer Equity</v>
          </cell>
          <cell r="C117">
            <v>1900000</v>
          </cell>
          <cell r="D117">
            <v>39583.333333333336</v>
          </cell>
          <cell r="E117">
            <v>0.12613062653263013</v>
          </cell>
        </row>
        <row r="118">
          <cell r="B118" t="str">
            <v>Deferred Developer Fee</v>
          </cell>
          <cell r="C118">
            <v>0</v>
          </cell>
          <cell r="D118" t="str">
            <v/>
          </cell>
          <cell r="E118" t="str">
            <v/>
          </cell>
        </row>
        <row r="119">
          <cell r="B119" t="str">
            <v>Reso A Funds</v>
          </cell>
          <cell r="D119" t="str">
            <v/>
          </cell>
          <cell r="E119" t="str">
            <v/>
          </cell>
        </row>
        <row r="120">
          <cell r="B120" t="str">
            <v>Other (specify)</v>
          </cell>
          <cell r="D120" t="str">
            <v/>
          </cell>
          <cell r="E120" t="str">
            <v/>
          </cell>
        </row>
        <row r="121">
          <cell r="B121" t="str">
            <v>Total Equity</v>
          </cell>
          <cell r="C121">
            <v>1900000</v>
          </cell>
          <cell r="D121">
            <v>39583.333333333336</v>
          </cell>
          <cell r="E121">
            <v>0.12613062653263013</v>
          </cell>
        </row>
        <row r="122">
          <cell r="B122" t="str">
            <v>TOTAL CONSTRUCTION SOURCES</v>
          </cell>
          <cell r="C122">
            <v>15063748.212718725</v>
          </cell>
          <cell r="D122">
            <v>313828.08776497346</v>
          </cell>
          <cell r="E122">
            <v>1</v>
          </cell>
        </row>
        <row r="130">
          <cell r="B130" t="str">
            <v>Permanent Sources of Funds</v>
          </cell>
          <cell r="C130" t="str">
            <v>Total</v>
          </cell>
          <cell r="D130" t="str">
            <v>Per DU</v>
          </cell>
          <cell r="E130" t="str">
            <v>% of TDC</v>
          </cell>
          <cell r="F130" t="str">
            <v>Rate</v>
          </cell>
          <cell r="G130" t="str">
            <v>Term</v>
          </cell>
        </row>
        <row r="131">
          <cell r="B131" t="str">
            <v>HDC First</v>
          </cell>
          <cell r="C131">
            <v>6665000</v>
          </cell>
          <cell r="D131">
            <v>138854.16666666666</v>
          </cell>
          <cell r="E131">
            <v>0.44245296096841041</v>
          </cell>
          <cell r="F131">
            <v>6.7500000000000004E-2</v>
          </cell>
          <cell r="G131">
            <v>30</v>
          </cell>
        </row>
        <row r="132">
          <cell r="B132" t="str">
            <v>HDC Second</v>
          </cell>
          <cell r="C132">
            <v>3600000</v>
          </cell>
          <cell r="D132">
            <v>75000</v>
          </cell>
          <cell r="E132">
            <v>0.23898434500919391</v>
          </cell>
          <cell r="F132">
            <v>0.01</v>
          </cell>
          <cell r="G132">
            <v>30</v>
          </cell>
        </row>
        <row r="133">
          <cell r="B133" t="str">
            <v>HPD City Capital</v>
          </cell>
          <cell r="C133">
            <v>1278059.2127187252</v>
          </cell>
          <cell r="D133">
            <v>26626.233598306775</v>
          </cell>
          <cell r="E133">
            <v>8.4843373287375165E-2</v>
          </cell>
          <cell r="F133">
            <v>0.01</v>
          </cell>
          <cell r="G133">
            <v>30</v>
          </cell>
        </row>
        <row r="134">
          <cell r="B134" t="str">
            <v>HPD HOME</v>
          </cell>
          <cell r="C134">
            <v>1620689</v>
          </cell>
          <cell r="D134">
            <v>33764.354166666664</v>
          </cell>
          <cell r="E134">
            <v>0.10758869420239041</v>
          </cell>
          <cell r="F134">
            <v>0</v>
          </cell>
          <cell r="G134">
            <v>20</v>
          </cell>
        </row>
        <row r="135">
          <cell r="B135" t="str">
            <v>Other (specify)</v>
          </cell>
          <cell r="D135" t="str">
            <v/>
          </cell>
          <cell r="E135" t="str">
            <v/>
          </cell>
        </row>
        <row r="136">
          <cell r="B136" t="str">
            <v>Total Mortgages</v>
          </cell>
          <cell r="C136">
            <v>13163748.212718725</v>
          </cell>
          <cell r="D136">
            <v>274244.75443164009</v>
          </cell>
          <cell r="E136">
            <v>0.87386937346736993</v>
          </cell>
        </row>
        <row r="138">
          <cell r="B138" t="str">
            <v>Tax Credit Equity</v>
          </cell>
          <cell r="C138">
            <v>0</v>
          </cell>
          <cell r="D138" t="str">
            <v/>
          </cell>
          <cell r="E138" t="str">
            <v/>
          </cell>
        </row>
        <row r="139">
          <cell r="B139" t="str">
            <v>Developer Equity</v>
          </cell>
          <cell r="C139">
            <v>1900000</v>
          </cell>
          <cell r="D139">
            <v>39583.333333333336</v>
          </cell>
          <cell r="E139">
            <v>0.12613062653263013</v>
          </cell>
        </row>
        <row r="140">
          <cell r="B140" t="str">
            <v>Deferred Developer Fee</v>
          </cell>
          <cell r="C140">
            <v>0</v>
          </cell>
          <cell r="D140" t="str">
            <v/>
          </cell>
          <cell r="E140" t="str">
            <v/>
          </cell>
        </row>
        <row r="141">
          <cell r="B141" t="str">
            <v>Reso A Funds</v>
          </cell>
          <cell r="D141" t="str">
            <v/>
          </cell>
          <cell r="E141" t="str">
            <v/>
          </cell>
        </row>
        <row r="142">
          <cell r="B142" t="str">
            <v>Other (specify)</v>
          </cell>
          <cell r="D142" t="str">
            <v/>
          </cell>
          <cell r="E142" t="str">
            <v/>
          </cell>
        </row>
        <row r="143">
          <cell r="B143" t="str">
            <v>Total Equity</v>
          </cell>
          <cell r="C143">
            <v>1900000</v>
          </cell>
          <cell r="D143">
            <v>39583.333333333336</v>
          </cell>
          <cell r="E143">
            <v>0.12613062653263013</v>
          </cell>
        </row>
        <row r="144">
          <cell r="B144" t="str">
            <v>TOTAL PERMANENT SOURCES</v>
          </cell>
          <cell r="C144">
            <v>15063748.212718725</v>
          </cell>
          <cell r="D144">
            <v>313828.08776497346</v>
          </cell>
          <cell r="E144">
            <v>1</v>
          </cell>
        </row>
        <row r="146">
          <cell r="B146" t="str">
            <v>Balloon on HDC Second Mortgage</v>
          </cell>
          <cell r="C146">
            <v>3600000.0000000005</v>
          </cell>
          <cell r="D146">
            <v>0</v>
          </cell>
        </row>
        <row r="148">
          <cell r="B148" t="str">
            <v>Balloon on HPD Second Mortgage</v>
          </cell>
          <cell r="C148">
            <v>885727.53749297361</v>
          </cell>
          <cell r="D148">
            <v>0</v>
          </cell>
        </row>
        <row r="150">
          <cell r="B150" t="str">
            <v>Balloon on HOME Loan</v>
          </cell>
          <cell r="C150">
            <v>0</v>
          </cell>
          <cell r="D150">
            <v>0</v>
          </cell>
        </row>
        <row r="152">
          <cell r="B152" t="str">
            <v xml:space="preserve"> Amount of HOME Funds per HOME DU  </v>
          </cell>
          <cell r="D152">
            <v>147335.36363636365</v>
          </cell>
        </row>
        <row r="156">
          <cell r="H156" t="str">
            <v>Unit Distribution by Rent Level</v>
          </cell>
        </row>
        <row r="157">
          <cell r="H157" t="str">
            <v>Size of Unit</v>
          </cell>
          <cell r="I157" t="str">
            <v>Total # of Units</v>
          </cell>
          <cell r="J157" t="str">
            <v>Market Rate</v>
          </cell>
          <cell r="K157" t="str">
            <v>High HOME (58% AMI)</v>
          </cell>
          <cell r="L157" t="str">
            <v>Low HOME (48% AMI)</v>
          </cell>
          <cell r="M157" t="str">
            <v>Tax Credit (60%)</v>
          </cell>
          <cell r="N157" t="str">
            <v>Tax Credit (50%)</v>
          </cell>
        </row>
        <row r="158">
          <cell r="H158" t="str">
            <v>Studio</v>
          </cell>
          <cell r="I158">
            <v>25</v>
          </cell>
          <cell r="J158">
            <v>21</v>
          </cell>
          <cell r="K158">
            <v>3</v>
          </cell>
          <cell r="L158">
            <v>1</v>
          </cell>
          <cell r="M158">
            <v>0</v>
          </cell>
          <cell r="N158">
            <v>0</v>
          </cell>
        </row>
        <row r="159">
          <cell r="H159" t="str">
            <v>1-Bdrm</v>
          </cell>
          <cell r="I159">
            <v>5</v>
          </cell>
          <cell r="J159">
            <v>2</v>
          </cell>
          <cell r="K159">
            <v>2</v>
          </cell>
          <cell r="L159">
            <v>1</v>
          </cell>
          <cell r="M159">
            <v>0</v>
          </cell>
          <cell r="N159">
            <v>0</v>
          </cell>
        </row>
        <row r="160">
          <cell r="H160" t="str">
            <v>2-Bdrm</v>
          </cell>
          <cell r="I160">
            <v>18</v>
          </cell>
          <cell r="J160">
            <v>14</v>
          </cell>
          <cell r="K160">
            <v>3</v>
          </cell>
          <cell r="L160">
            <v>1</v>
          </cell>
          <cell r="M160">
            <v>0</v>
          </cell>
          <cell r="N160">
            <v>0</v>
          </cell>
        </row>
        <row r="161">
          <cell r="H161" t="str">
            <v>3-Bdrm</v>
          </cell>
          <cell r="I161" t="str">
            <v/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H162" t="str">
            <v>4-Bdrm</v>
          </cell>
          <cell r="I162" t="str">
            <v/>
          </cell>
        </row>
        <row r="163">
          <cell r="H163" t="str">
            <v>Total</v>
          </cell>
          <cell r="I163">
            <v>48</v>
          </cell>
          <cell r="J163">
            <v>37</v>
          </cell>
          <cell r="K163">
            <v>8</v>
          </cell>
          <cell r="L163">
            <v>3</v>
          </cell>
          <cell r="M163">
            <v>0</v>
          </cell>
          <cell r="N163">
            <v>0</v>
          </cell>
        </row>
        <row r="169">
          <cell r="H169" t="str">
            <v>Unit Distribution by Monthly Rent</v>
          </cell>
        </row>
        <row r="170">
          <cell r="H170" t="str">
            <v>Size of Unit</v>
          </cell>
          <cell r="I170" t="str">
            <v>Total # of Units</v>
          </cell>
          <cell r="J170" t="str">
            <v>Market Rate</v>
          </cell>
          <cell r="K170" t="str">
            <v>High HOME (58% AMI)</v>
          </cell>
          <cell r="L170" t="str">
            <v>Low HOME (48% AMI)</v>
          </cell>
          <cell r="M170" t="str">
            <v>Tax Credit</v>
          </cell>
          <cell r="N170" t="str">
            <v>Other</v>
          </cell>
          <cell r="O170" t="str">
            <v>Average Rent by Unit Size</v>
          </cell>
        </row>
        <row r="171">
          <cell r="H171" t="str">
            <v>Studio</v>
          </cell>
          <cell r="I171">
            <v>25</v>
          </cell>
          <cell r="J171">
            <v>1019</v>
          </cell>
          <cell r="K171">
            <v>742</v>
          </cell>
          <cell r="L171">
            <v>576</v>
          </cell>
          <cell r="M171">
            <v>0</v>
          </cell>
          <cell r="N171">
            <v>0</v>
          </cell>
          <cell r="O171">
            <v>968.04</v>
          </cell>
        </row>
        <row r="172">
          <cell r="H172" t="str">
            <v>1-Bdrm</v>
          </cell>
          <cell r="I172">
            <v>5</v>
          </cell>
          <cell r="J172">
            <v>1475</v>
          </cell>
          <cell r="K172">
            <v>796</v>
          </cell>
          <cell r="L172">
            <v>616</v>
          </cell>
          <cell r="O172">
            <v>1031.5999999999999</v>
          </cell>
        </row>
        <row r="173">
          <cell r="H173" t="str">
            <v>2-Bdrm</v>
          </cell>
          <cell r="I173">
            <v>18</v>
          </cell>
          <cell r="J173">
            <v>1775</v>
          </cell>
          <cell r="K173">
            <v>962</v>
          </cell>
          <cell r="L173">
            <v>743</v>
          </cell>
          <cell r="O173">
            <v>1582.1666666666667</v>
          </cell>
        </row>
        <row r="174">
          <cell r="H174" t="str">
            <v>3-Bdrm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H175" t="str">
            <v>4-Bdrm</v>
          </cell>
          <cell r="I175">
            <v>0</v>
          </cell>
        </row>
        <row r="176">
          <cell r="H176" t="str">
            <v>Total</v>
          </cell>
          <cell r="I176">
            <v>48</v>
          </cell>
          <cell r="O176">
            <v>1204.9583333333333</v>
          </cell>
        </row>
        <row r="181">
          <cell r="H181" t="str">
            <v>Average Size of Units</v>
          </cell>
          <cell r="I181" t="str">
            <v>Studio</v>
          </cell>
          <cell r="J181" t="str">
            <v>1 BR</v>
          </cell>
          <cell r="K181" t="str">
            <v>2 BR</v>
          </cell>
          <cell r="L181" t="str">
            <v>3 BR</v>
          </cell>
          <cell r="M181" t="str">
            <v>4 BR</v>
          </cell>
          <cell r="N181" t="str">
            <v>Average all Units</v>
          </cell>
        </row>
        <row r="182">
          <cell r="H182" t="str">
            <v>(Net Sq Ft)</v>
          </cell>
          <cell r="I182">
            <v>479</v>
          </cell>
          <cell r="J182">
            <v>728</v>
          </cell>
          <cell r="K182">
            <v>902</v>
          </cell>
          <cell r="L182">
            <v>0</v>
          </cell>
          <cell r="M182">
            <v>0</v>
          </cell>
          <cell r="N182">
            <v>663.5625</v>
          </cell>
        </row>
        <row r="188">
          <cell r="H188" t="str">
            <v>Residential Data</v>
          </cell>
        </row>
        <row r="190">
          <cell r="H190" t="str">
            <v>Annual</v>
          </cell>
          <cell r="I190" t="str">
            <v xml:space="preserve"> Rent</v>
          </cell>
          <cell r="J190" t="str">
            <v>Expenses</v>
          </cell>
        </row>
        <row r="191">
          <cell r="H191" t="str">
            <v>Per DU</v>
          </cell>
          <cell r="I191">
            <v>14459.5</v>
          </cell>
          <cell r="J191">
            <v>4749.416666666667</v>
          </cell>
        </row>
        <row r="192">
          <cell r="H192" t="str">
            <v>Per Room</v>
          </cell>
          <cell r="I192">
            <v>5066.1021897810215</v>
          </cell>
          <cell r="J192">
            <v>1664.0291970802921</v>
          </cell>
        </row>
        <row r="193">
          <cell r="H193" t="str">
            <v>Per NSF</v>
          </cell>
          <cell r="I193">
            <v>21.790713007440896</v>
          </cell>
          <cell r="J193">
            <v>7.1574518853411195</v>
          </cell>
        </row>
        <row r="195">
          <cell r="H195" t="str">
            <v>Monthly</v>
          </cell>
          <cell r="I195" t="str">
            <v xml:space="preserve"> Rent</v>
          </cell>
          <cell r="J195" t="str">
            <v>Expenses</v>
          </cell>
        </row>
        <row r="196">
          <cell r="H196" t="str">
            <v>Per DU</v>
          </cell>
          <cell r="I196">
            <v>1204.9583333333333</v>
          </cell>
          <cell r="J196">
            <v>395.78472222222223</v>
          </cell>
        </row>
        <row r="197">
          <cell r="H197" t="str">
            <v>Per Room</v>
          </cell>
          <cell r="I197">
            <v>422.17518248175179</v>
          </cell>
          <cell r="J197">
            <v>138.669099756691</v>
          </cell>
        </row>
        <row r="201">
          <cell r="H201" t="str">
            <v>Non-Residential Revenues</v>
          </cell>
        </row>
        <row r="202">
          <cell r="H202" t="str">
            <v>Commercial Space</v>
          </cell>
          <cell r="J202">
            <v>30</v>
          </cell>
          <cell r="K202" t="str">
            <v>Annual Rent/s.f.</v>
          </cell>
        </row>
        <row r="203">
          <cell r="H203" t="str">
            <v>Community Space</v>
          </cell>
          <cell r="J203">
            <v>0</v>
          </cell>
          <cell r="K203" t="str">
            <v>Annual Rent/s.f.</v>
          </cell>
        </row>
        <row r="204">
          <cell r="H204" t="str">
            <v>Parking</v>
          </cell>
          <cell r="J204" t="str">
            <v/>
          </cell>
          <cell r="K204" t="str">
            <v>Per space/month</v>
          </cell>
        </row>
        <row r="205">
          <cell r="H205" t="str">
            <v>Laundry</v>
          </cell>
          <cell r="J205">
            <v>100</v>
          </cell>
          <cell r="K205" t="str">
            <v>Annual per unit</v>
          </cell>
        </row>
        <row r="225">
          <cell r="B225" t="str">
            <v>Operating Budget</v>
          </cell>
          <cell r="C225" t="str">
            <v>Annual Amount</v>
          </cell>
          <cell r="D225" t="str">
            <v>Comments</v>
          </cell>
        </row>
        <row r="226">
          <cell r="B226" t="str">
            <v xml:space="preserve">  Residential Rent</v>
          </cell>
          <cell r="C226">
            <v>694056</v>
          </cell>
        </row>
        <row r="227">
          <cell r="B227" t="str">
            <v xml:space="preserve">  Vacancy and Collection Loss</v>
          </cell>
          <cell r="C227">
            <v>-34702.800000000003</v>
          </cell>
          <cell r="D227">
            <v>0.05</v>
          </cell>
        </row>
        <row r="228">
          <cell r="B228" t="str">
            <v xml:space="preserve">  Commercial Rent</v>
          </cell>
          <cell r="C228">
            <v>265200</v>
          </cell>
          <cell r="D228" t="str">
            <v/>
          </cell>
        </row>
        <row r="229">
          <cell r="B229" t="str">
            <v xml:space="preserve">  Vacancy and Collection Loss</v>
          </cell>
          <cell r="C229">
            <v>-26520</v>
          </cell>
          <cell r="D229">
            <v>0.1</v>
          </cell>
        </row>
        <row r="230">
          <cell r="B230" t="str">
            <v xml:space="preserve">  Community Space</v>
          </cell>
          <cell r="C230">
            <v>0</v>
          </cell>
        </row>
        <row r="231">
          <cell r="B231" t="str">
            <v xml:space="preserve">  Vacancy and Collection Loss</v>
          </cell>
          <cell r="C231">
            <v>0</v>
          </cell>
          <cell r="D231">
            <v>0.1</v>
          </cell>
        </row>
        <row r="232">
          <cell r="B232" t="str">
            <v xml:space="preserve">  Parking</v>
          </cell>
          <cell r="C232">
            <v>0</v>
          </cell>
        </row>
        <row r="233">
          <cell r="B233" t="str">
            <v xml:space="preserve">  Vacancy and Collection Loss</v>
          </cell>
          <cell r="C233">
            <v>0</v>
          </cell>
          <cell r="D233">
            <v>0.1</v>
          </cell>
        </row>
        <row r="234">
          <cell r="B234" t="str">
            <v xml:space="preserve">  Other Income</v>
          </cell>
          <cell r="C234">
            <v>4800</v>
          </cell>
          <cell r="D234" t="str">
            <v xml:space="preserve">Ancillary/Laundry </v>
          </cell>
        </row>
        <row r="235">
          <cell r="B235" t="str">
            <v xml:space="preserve">  Effective Project Income</v>
          </cell>
          <cell r="C235">
            <v>902833.2</v>
          </cell>
        </row>
        <row r="236">
          <cell r="B236" t="str">
            <v xml:space="preserve">  Operating Expenses</v>
          </cell>
          <cell r="C236">
            <v>227972</v>
          </cell>
        </row>
        <row r="237">
          <cell r="B237" t="str">
            <v xml:space="preserve">  Real Estate Taxes</v>
          </cell>
          <cell r="C237">
            <v>9150</v>
          </cell>
          <cell r="D237" t="str">
            <v>421 a</v>
          </cell>
        </row>
        <row r="238">
          <cell r="B238" t="str">
            <v xml:space="preserve">  Net Operating Income</v>
          </cell>
          <cell r="C238">
            <v>665711.19999999995</v>
          </cell>
        </row>
        <row r="239">
          <cell r="B239" t="str">
            <v xml:space="preserve">  First Mortgage Debt Service</v>
          </cell>
          <cell r="C239">
            <v>518748.51990000001</v>
          </cell>
          <cell r="D239" t="str">
            <v xml:space="preserve"> </v>
          </cell>
        </row>
        <row r="240">
          <cell r="B240" t="str">
            <v xml:space="preserve">  Second Mortgage Debt Service</v>
          </cell>
          <cell r="C240">
            <v>60130.784447826038</v>
          </cell>
          <cell r="D240" t="str">
            <v xml:space="preserve"> </v>
          </cell>
        </row>
        <row r="241">
          <cell r="B241" t="str">
            <v xml:space="preserve">  Net Cash to Owner</v>
          </cell>
          <cell r="C241">
            <v>86831.895652173902</v>
          </cell>
        </row>
        <row r="242">
          <cell r="B242" t="str">
            <v xml:space="preserve">  Return on Equity (1st year)</v>
          </cell>
          <cell r="C242">
            <v>4.5700997711670473E-2</v>
          </cell>
        </row>
        <row r="243">
          <cell r="B243" t="str">
            <v xml:space="preserve">  Return on TDC (1st year)</v>
          </cell>
          <cell r="C243">
            <v>4.4192931971467911E-2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loan"/>
      <sheetName val="Acquis Budg"/>
      <sheetName val="Sources and Use"/>
      <sheetName val="Devel. Bud"/>
      <sheetName val="NMTC anal"/>
      <sheetName val="Cons Int &amp; Neg Arb"/>
      <sheetName val="Units &amp; Income"/>
      <sheetName val="M and O"/>
      <sheetName val="Cash Flow"/>
      <sheetName val="Mort"/>
      <sheetName val="Tax Credit "/>
      <sheetName val="Trade Pmt"/>
      <sheetName val="Fl Area Summary"/>
      <sheetName val="Sheet1"/>
      <sheetName val="Instructions"/>
      <sheetName val="HUD Subsidy"/>
    </sheetNames>
    <sheetDataSet>
      <sheetData sheetId="0"/>
      <sheetData sheetId="1"/>
      <sheetData sheetId="2">
        <row r="1">
          <cell r="A1" t="str">
            <v>WEBSTER AVE, 203RD ST BRONX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ources and Use"/>
      <sheetName val="Devel. Bud"/>
      <sheetName val="NMTC anal ,4-22"/>
      <sheetName val="Cons Int &amp; Neg Arb"/>
      <sheetName val="Units &amp; Income"/>
      <sheetName val="M and O"/>
      <sheetName val="Cash Flow"/>
      <sheetName val="Mort"/>
      <sheetName val="Tax Credit "/>
      <sheetName val="Trade Pmt"/>
      <sheetName val="Fl Area Summary"/>
      <sheetName val="NOT USED-&gt;"/>
      <sheetName val="HUD Subsidy"/>
      <sheetName val="Sheet1"/>
    </sheetNames>
    <sheetDataSet>
      <sheetData sheetId="0" refreshError="1"/>
      <sheetData sheetId="1">
        <row r="1">
          <cell r="A1" t="str">
            <v>NEW SETTLEMENT SOUTH</v>
          </cell>
        </row>
        <row r="2">
          <cell r="C2" t="str">
            <v>Units:</v>
          </cell>
        </row>
      </sheetData>
      <sheetData sheetId="2" refreshError="1"/>
      <sheetData sheetId="3" refreshError="1"/>
      <sheetData sheetId="4" refreshError="1"/>
      <sheetData sheetId="5">
        <row r="21">
          <cell r="B21">
            <v>418</v>
          </cell>
        </row>
        <row r="23">
          <cell r="B23">
            <v>420</v>
          </cell>
        </row>
      </sheetData>
      <sheetData sheetId="6">
        <row r="31">
          <cell r="C31">
            <v>2984906</v>
          </cell>
        </row>
      </sheetData>
      <sheetData sheetId="7" refreshError="1"/>
      <sheetData sheetId="8">
        <row r="30">
          <cell r="H30">
            <v>44990000</v>
          </cell>
          <cell r="I30">
            <v>31500000</v>
          </cell>
        </row>
        <row r="32">
          <cell r="D32">
            <v>4186108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ources and Use"/>
      <sheetName val="Unit Distrib."/>
      <sheetName val="exp comp"/>
      <sheetName val="M and O"/>
      <sheetName val="Calc"/>
      <sheetName val="Devel. Bud (2)"/>
      <sheetName val="Mort (2)"/>
      <sheetName val="expenses (2)"/>
      <sheetName val="I_E"/>
      <sheetName val="expenses (1)"/>
      <sheetName val="Mort (1)"/>
      <sheetName val="Devel. Bud (1)"/>
      <sheetName val="service"/>
      <sheetName val="Sources_and_Use"/>
      <sheetName val="Unit_Distrib_"/>
      <sheetName val="exp_comp"/>
      <sheetName val="M_and_O"/>
      <sheetName val="Devel__Bud_(2)"/>
      <sheetName val="Mort_(2)"/>
      <sheetName val="expenses_(2)"/>
      <sheetName val="expenses_(1)"/>
      <sheetName val="Mort_(1)"/>
      <sheetName val="Devel__Bud_(1)"/>
      <sheetName val="Sources_&amp;_Uses"/>
      <sheetName val="Income"/>
      <sheetName val="Amortization_Tabl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 and Use"/>
      <sheetName val="Devel. Bud"/>
      <sheetName val="Cons Int &amp; Neg Arb"/>
      <sheetName val="Units &amp; Income_HCR"/>
      <sheetName val="NOT USED--&gt;"/>
      <sheetName val="M and O"/>
      <sheetName val="Cash Flow"/>
      <sheetName val="Mort"/>
      <sheetName val="Tax Credit "/>
      <sheetName val="OLD-&gt;"/>
      <sheetName val="Fl Area Summary"/>
      <sheetName val="Trade Pmt"/>
      <sheetName val="Instructions"/>
      <sheetName val="Units &amp; Income"/>
      <sheetName val="HUD Subsidy"/>
    </sheetNames>
    <sheetDataSet>
      <sheetData sheetId="0">
        <row r="1">
          <cell r="A1" t="str">
            <v>Homeless Development Model E- shelter</v>
          </cell>
        </row>
      </sheetData>
      <sheetData sheetId="1">
        <row r="1">
          <cell r="A1" t="str">
            <v>Homeless Development Model E- shelter</v>
          </cell>
        </row>
      </sheetData>
      <sheetData sheetId="2">
        <row r="42">
          <cell r="F42">
            <v>1160301.1915213414</v>
          </cell>
        </row>
      </sheetData>
      <sheetData sheetId="3">
        <row r="5">
          <cell r="B5">
            <v>55000</v>
          </cell>
        </row>
      </sheetData>
      <sheetData sheetId="4"/>
      <sheetData sheetId="5">
        <row r="31">
          <cell r="C31">
            <v>452930.13835999998</v>
          </cell>
        </row>
      </sheetData>
      <sheetData sheetId="6"/>
      <sheetData sheetId="7">
        <row r="30">
          <cell r="H30">
            <v>3500000</v>
          </cell>
          <cell r="I30">
            <v>0</v>
          </cell>
        </row>
        <row r="32">
          <cell r="D32">
            <v>267008.36164000002</v>
          </cell>
        </row>
      </sheetData>
      <sheetData sheetId="8"/>
      <sheetData sheetId="9"/>
      <sheetData sheetId="10"/>
      <sheetData sheetId="11"/>
      <sheetData sheetId="12"/>
      <sheetData sheetId="13">
        <row r="2">
          <cell r="A2" t="str">
            <v>Construction Loan / Permanent Loan</v>
          </cell>
        </row>
      </sheetData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Distrib."/>
      <sheetName val="Sources and Use"/>
      <sheetName val="M and O"/>
      <sheetName val="Mort"/>
      <sheetName val="Devel. Bud"/>
      <sheetName val="Int Calc (LT1st)"/>
      <sheetName val="Tax Credits"/>
      <sheetName val="Unit_Distrib_"/>
      <sheetName val="Sources_and_Use"/>
      <sheetName val="M_and_O"/>
      <sheetName val="Devel__Bud"/>
      <sheetName val="Int_Calc_(LT1st)"/>
      <sheetName val="Tax_Cred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v Budg"/>
      <sheetName val="Int Calc "/>
      <sheetName val="Sources"/>
      <sheetName val="Unit Distrib."/>
      <sheetName val="M and O"/>
      <sheetName val="Mort"/>
      <sheetName val="Cash Flow"/>
      <sheetName val="Escrows"/>
      <sheetName val="Dev_Budg"/>
      <sheetName val="Int_Calc_"/>
      <sheetName val="Unit_Distrib_"/>
      <sheetName val="M_and_O"/>
      <sheetName val="Cash_Flow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3">
          <cell r="D13">
            <v>533771.64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"/>
      <sheetName val="Income"/>
      <sheetName val="Loan Info."/>
      <sheetName val="Loan_Info_"/>
    </sheetNames>
    <sheetDataSet>
      <sheetData sheetId="0"/>
      <sheetData sheetId="1" refreshError="1">
        <row r="24">
          <cell r="D24">
            <v>27716.694769230769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"/>
      <sheetName val="Income"/>
      <sheetName val="Loan Info."/>
      <sheetName val="Loan_Info_"/>
      <sheetName val="Unit Distrib."/>
      <sheetName val="Mort"/>
    </sheetNames>
    <sheetDataSet>
      <sheetData sheetId="0"/>
      <sheetData sheetId="1" refreshError="1">
        <row r="24">
          <cell r="D24">
            <v>27716.694769230769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Mem1"/>
      <sheetName val="CMem2"/>
      <sheetName val="Mort"/>
      <sheetName val="Rents"/>
      <sheetName val="I&amp;E"/>
      <sheetName val="I&amp;A"/>
      <sheetName val="IA2"/>
      <sheetName val="Calcs"/>
      <sheetName val="CFA"/>
    </sheetNames>
    <sheetDataSet>
      <sheetData sheetId="0" refreshError="1">
        <row r="75">
          <cell r="M75">
            <v>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Relationship Id="rId9" Type="http://schemas.openxmlformats.org/officeDocument/2006/relationships/printerSettings" Target="../printerSettings/printerSettings2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printerSettings" Target="../printerSettings/printerSettings26.bin"/><Relationship Id="rId7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6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7.bin"/><Relationship Id="rId9" Type="http://schemas.openxmlformats.org/officeDocument/2006/relationships/printerSettings" Target="../printerSettings/printerSettings3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5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0.bin"/><Relationship Id="rId3" Type="http://schemas.openxmlformats.org/officeDocument/2006/relationships/printerSettings" Target="../printerSettings/printerSettings45.bin"/><Relationship Id="rId7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Relationship Id="rId9" Type="http://schemas.openxmlformats.org/officeDocument/2006/relationships/printerSettings" Target="../printerSettings/printerSettings5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9.bin"/><Relationship Id="rId3" Type="http://schemas.openxmlformats.org/officeDocument/2006/relationships/printerSettings" Target="../printerSettings/printerSettings54.bin"/><Relationship Id="rId7" Type="http://schemas.openxmlformats.org/officeDocument/2006/relationships/printerSettings" Target="../printerSettings/printerSettings58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Relationship Id="rId6" Type="http://schemas.openxmlformats.org/officeDocument/2006/relationships/printerSettings" Target="../printerSettings/printerSettings57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6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5.bin"/><Relationship Id="rId9" Type="http://schemas.openxmlformats.org/officeDocument/2006/relationships/printerSettings" Target="../printerSettings/printerSettings6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3.bin"/><Relationship Id="rId1" Type="http://schemas.openxmlformats.org/officeDocument/2006/relationships/printerSettings" Target="../printerSettings/printerSettings62.bin"/><Relationship Id="rId6" Type="http://schemas.openxmlformats.org/officeDocument/2006/relationships/printerSettings" Target="../printerSettings/printerSettings67.bin"/><Relationship Id="rId5" Type="http://schemas.openxmlformats.org/officeDocument/2006/relationships/printerSettings" Target="../printerSettings/printerSettings66.bin"/><Relationship Id="rId4" Type="http://schemas.openxmlformats.org/officeDocument/2006/relationships/printerSettings" Target="../printerSettings/printerSettings65.bin"/><Relationship Id="rId9" Type="http://schemas.openxmlformats.org/officeDocument/2006/relationships/printerSettings" Target="../printerSettings/printerSettings7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8.bin"/><Relationship Id="rId7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Relationship Id="rId9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6"/>
  <sheetViews>
    <sheetView tabSelected="1" workbookViewId="0">
      <selection activeCell="A13" sqref="A13"/>
    </sheetView>
  </sheetViews>
  <sheetFormatPr defaultRowHeight="15"/>
  <cols>
    <col min="5" max="5" width="11" bestFit="1" customWidth="1"/>
  </cols>
  <sheetData>
    <row r="1" spans="1:6">
      <c r="A1" s="598" t="s">
        <v>512</v>
      </c>
    </row>
    <row r="3" spans="1:6">
      <c r="A3" t="s">
        <v>507</v>
      </c>
    </row>
    <row r="4" spans="1:6">
      <c r="A4" s="598" t="s">
        <v>514</v>
      </c>
    </row>
    <row r="6" spans="1:6">
      <c r="A6" s="598" t="s">
        <v>513</v>
      </c>
      <c r="E6" s="186">
        <f>'Devel. Bud-shltr'!I2</f>
        <v>158000</v>
      </c>
      <c r="F6" t="s">
        <v>525</v>
      </c>
    </row>
    <row r="7" spans="1:6">
      <c r="A7">
        <v>100</v>
      </c>
      <c r="B7" s="598" t="s">
        <v>515</v>
      </c>
      <c r="E7" s="186">
        <f>E6-E8</f>
        <v>100000</v>
      </c>
      <c r="F7" t="s">
        <v>527</v>
      </c>
    </row>
    <row r="8" spans="1:6">
      <c r="A8">
        <v>100</v>
      </c>
      <c r="B8" s="598" t="s">
        <v>516</v>
      </c>
      <c r="E8" s="186">
        <f>'Devel. Bud-shltr'!K2</f>
        <v>58000</v>
      </c>
      <c r="F8" t="s">
        <v>526</v>
      </c>
    </row>
    <row r="9" spans="1:6">
      <c r="B9" s="598" t="s">
        <v>518</v>
      </c>
    </row>
    <row r="10" spans="1:6">
      <c r="B10" s="598"/>
    </row>
    <row r="11" spans="1:6">
      <c r="A11" s="598" t="s">
        <v>519</v>
      </c>
    </row>
    <row r="12" spans="1:6">
      <c r="A12" s="1341">
        <f>'Sources and Use-shltr'!B40</f>
        <v>28.961740943999732</v>
      </c>
      <c r="B12" s="598" t="s">
        <v>520</v>
      </c>
    </row>
    <row r="13" spans="1:6">
      <c r="A13" s="1341">
        <f>'Sources and Uses'!B42</f>
        <v>38.356164383561641</v>
      </c>
      <c r="B13" s="598" t="s">
        <v>521</v>
      </c>
    </row>
    <row r="14" spans="1:6">
      <c r="A14" s="1341">
        <v>70</v>
      </c>
      <c r="B14" s="598" t="s">
        <v>522</v>
      </c>
      <c r="D14" s="598" t="s">
        <v>523</v>
      </c>
    </row>
    <row r="16" spans="1:6">
      <c r="A16" s="1341">
        <f>SUM(A12:A14)</f>
        <v>137.31790532756139</v>
      </c>
      <c r="B16" s="598" t="s">
        <v>524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108"/>
  <sheetViews>
    <sheetView defaultGridColor="0" colorId="22" zoomScale="75" zoomScaleNormal="75" workbookViewId="0">
      <selection activeCell="A2" sqref="A2"/>
    </sheetView>
  </sheetViews>
  <sheetFormatPr defaultColWidth="9.77734375" defaultRowHeight="15"/>
  <cols>
    <col min="1" max="1" width="48.77734375" style="43" customWidth="1"/>
    <col min="2" max="2" width="8.5546875" style="43" customWidth="1"/>
    <col min="3" max="3" width="12" style="43" bestFit="1" customWidth="1"/>
    <col min="4" max="4" width="16" style="78" customWidth="1"/>
    <col min="5" max="5" width="16.109375" style="43" customWidth="1"/>
    <col min="6" max="6" width="13.5546875" style="43" customWidth="1"/>
    <col min="7" max="7" width="12.77734375" style="43" customWidth="1"/>
    <col min="8" max="8" width="9.77734375" style="43" customWidth="1"/>
    <col min="9" max="9" width="11.21875" style="43" customWidth="1"/>
    <col min="10" max="10" width="8" style="43" customWidth="1"/>
    <col min="11" max="11" width="12.77734375" style="43" bestFit="1" customWidth="1"/>
    <col min="12" max="12" width="12.88671875" style="43" bestFit="1" customWidth="1"/>
    <col min="13" max="13" width="12.44140625" style="43" customWidth="1"/>
    <col min="14" max="14" width="10.6640625" style="43" bestFit="1" customWidth="1"/>
    <col min="15" max="16384" width="9.77734375" style="43"/>
  </cols>
  <sheetData>
    <row r="1" spans="1:12" ht="16.5" customHeight="1">
      <c r="A1" s="1" t="str">
        <f>'Sources and Uses'!A1</f>
        <v>Homeless Development Model E- permanent</v>
      </c>
      <c r="C1" s="23"/>
      <c r="E1" s="1"/>
      <c r="F1" s="24"/>
    </row>
    <row r="2" spans="1:12" ht="16.5" customHeight="1">
      <c r="A2" s="1" t="str">
        <f>'Units &amp; Income'!A2</f>
        <v>4% LIHTC, HPD/HDC ELLA, DHS</v>
      </c>
      <c r="C2" s="23"/>
      <c r="E2" s="1" t="str">
        <f>'Sources and Uses'!C2</f>
        <v>Units:</v>
      </c>
      <c r="F2" s="24">
        <f>'Units &amp; Income_rent'!I2</f>
        <v>100</v>
      </c>
      <c r="I2" s="183">
        <f>100000+K2</f>
        <v>158000</v>
      </c>
      <c r="K2" s="183">
        <v>58000</v>
      </c>
    </row>
    <row r="3" spans="1:12" s="1109" customFormat="1" ht="15" customHeight="1">
      <c r="A3" s="1106"/>
      <c r="B3" s="1107"/>
      <c r="C3" s="1106"/>
      <c r="D3" s="1108"/>
      <c r="I3" s="1109" t="s">
        <v>452</v>
      </c>
      <c r="K3" s="1110">
        <f>K2/I2</f>
        <v>0.36708860759493672</v>
      </c>
    </row>
    <row r="4" spans="1:12" ht="15.75" customHeight="1">
      <c r="A4" s="1" t="s">
        <v>127</v>
      </c>
      <c r="B4" s="47"/>
      <c r="C4" s="23"/>
      <c r="D4" s="48"/>
      <c r="E4" s="73"/>
      <c r="F4" s="24"/>
    </row>
    <row r="5" spans="1:12">
      <c r="A5" s="17"/>
      <c r="B5" s="17"/>
      <c r="C5" s="17"/>
      <c r="D5" s="74" t="s">
        <v>285</v>
      </c>
      <c r="E5" s="17"/>
      <c r="F5" s="17"/>
      <c r="G5" s="17"/>
    </row>
    <row r="6" spans="1:12" ht="15.75">
      <c r="A6" s="353" t="s">
        <v>179</v>
      </c>
      <c r="B6" s="132"/>
      <c r="C6" s="133"/>
      <c r="D6" s="1068">
        <f>I2*G7*0.6</f>
        <v>3792000</v>
      </c>
      <c r="E6" s="167" t="s">
        <v>468</v>
      </c>
      <c r="F6" s="25"/>
      <c r="G6" s="1102">
        <f>D6/F2</f>
        <v>37920</v>
      </c>
      <c r="H6" s="700" t="s">
        <v>19</v>
      </c>
      <c r="J6" s="732"/>
      <c r="K6" s="1112">
        <f>I2*G7</f>
        <v>6320000</v>
      </c>
      <c r="L6" s="598" t="s">
        <v>467</v>
      </c>
    </row>
    <row r="7" spans="1:12" ht="15.75">
      <c r="A7" s="738"/>
      <c r="B7" s="739"/>
      <c r="C7" s="740"/>
      <c r="D7" s="564"/>
      <c r="E7" s="35"/>
      <c r="F7" s="36"/>
      <c r="G7" s="20">
        <v>40</v>
      </c>
      <c r="H7" s="598" t="s">
        <v>457</v>
      </c>
    </row>
    <row r="8" spans="1:12">
      <c r="A8" s="741" t="s">
        <v>180</v>
      </c>
      <c r="B8" s="742"/>
      <c r="C8" s="743"/>
      <c r="D8" s="744"/>
      <c r="E8" s="63"/>
      <c r="F8" s="36"/>
      <c r="G8" s="17" t="s">
        <v>115</v>
      </c>
      <c r="H8" s="533"/>
      <c r="I8" s="43" t="s">
        <v>115</v>
      </c>
    </row>
    <row r="9" spans="1:12">
      <c r="A9" s="684" t="s">
        <v>173</v>
      </c>
      <c r="B9" s="742"/>
      <c r="C9" s="743"/>
      <c r="D9" s="564"/>
      <c r="E9" s="155"/>
      <c r="F9" s="36"/>
      <c r="G9" s="17"/>
      <c r="H9" s="533"/>
      <c r="K9" s="598" t="s">
        <v>483</v>
      </c>
    </row>
    <row r="10" spans="1:12" ht="15.75">
      <c r="A10" s="745" t="s">
        <v>175</v>
      </c>
      <c r="B10" s="746">
        <f>D10/F2</f>
        <v>270000</v>
      </c>
      <c r="C10" s="664" t="s">
        <v>48</v>
      </c>
      <c r="D10" s="747">
        <f>225*100000+L17</f>
        <v>27000000</v>
      </c>
      <c r="E10" s="598"/>
      <c r="F10" s="912"/>
      <c r="G10" s="1067">
        <v>225</v>
      </c>
      <c r="H10" s="1371" t="s">
        <v>374</v>
      </c>
      <c r="I10" s="1371"/>
      <c r="J10" s="982"/>
      <c r="K10" s="183">
        <f>66000*240</f>
        <v>15840000</v>
      </c>
      <c r="L10" s="598" t="s">
        <v>473</v>
      </c>
    </row>
    <row r="11" spans="1:12" hidden="1">
      <c r="A11" s="748" t="s">
        <v>231</v>
      </c>
      <c r="B11" s="749"/>
      <c r="C11" s="664"/>
      <c r="D11" s="562">
        <v>0</v>
      </c>
      <c r="E11" s="536" t="s">
        <v>371</v>
      </c>
      <c r="F11" s="36"/>
      <c r="G11" s="17" t="s">
        <v>115</v>
      </c>
      <c r="H11" s="533"/>
      <c r="I11" s="43" t="s">
        <v>115</v>
      </c>
      <c r="J11" s="43" t="s">
        <v>115</v>
      </c>
      <c r="K11" s="183"/>
    </row>
    <row r="12" spans="1:12">
      <c r="A12" s="745" t="s">
        <v>174</v>
      </c>
      <c r="B12" s="749"/>
      <c r="C12" s="664"/>
      <c r="D12" s="562">
        <v>0</v>
      </c>
      <c r="E12" s="536" t="s">
        <v>389</v>
      </c>
      <c r="F12" s="36"/>
      <c r="G12" s="536"/>
      <c r="H12" s="936"/>
      <c r="K12" s="183">
        <f>1300*180</f>
        <v>234000</v>
      </c>
      <c r="L12" s="598" t="s">
        <v>474</v>
      </c>
    </row>
    <row r="13" spans="1:12">
      <c r="A13" s="745" t="s">
        <v>112</v>
      </c>
      <c r="B13" s="749"/>
      <c r="C13" s="750"/>
      <c r="D13" s="562">
        <v>0</v>
      </c>
      <c r="E13" s="536" t="s">
        <v>389</v>
      </c>
      <c r="F13" s="36"/>
      <c r="G13" s="613"/>
      <c r="H13" s="533"/>
      <c r="I13" s="43" t="s">
        <v>115</v>
      </c>
      <c r="J13" s="43" t="s">
        <v>115</v>
      </c>
    </row>
    <row r="14" spans="1:12" ht="17.25">
      <c r="A14" s="682" t="s">
        <v>73</v>
      </c>
      <c r="B14" s="126">
        <v>0.05</v>
      </c>
      <c r="C14" s="751"/>
      <c r="D14" s="563">
        <f>B14*($D$10)</f>
        <v>1350000</v>
      </c>
      <c r="E14" s="514"/>
      <c r="F14" s="36"/>
      <c r="G14" s="1123"/>
      <c r="I14" s="183"/>
      <c r="K14" s="183">
        <f>225*100000</f>
        <v>22500000</v>
      </c>
      <c r="L14" s="598" t="s">
        <v>484</v>
      </c>
    </row>
    <row r="15" spans="1:12" ht="15.75">
      <c r="A15" s="752" t="s">
        <v>178</v>
      </c>
      <c r="B15" s="749">
        <f>D15/F2</f>
        <v>283500</v>
      </c>
      <c r="C15" s="664" t="s">
        <v>48</v>
      </c>
      <c r="D15" s="559">
        <f>SUM(D10:D14)</f>
        <v>28350000</v>
      </c>
      <c r="E15" s="612">
        <f>D15/'Units &amp; Income'!B9</f>
        <v>443.38442289646542</v>
      </c>
      <c r="F15" s="36"/>
      <c r="H15" s="602"/>
      <c r="I15" s="1154" t="s">
        <v>485</v>
      </c>
      <c r="J15" s="1109"/>
      <c r="K15" s="183">
        <v>15000000</v>
      </c>
      <c r="L15" s="1112">
        <f>K15*0.25</f>
        <v>3750000</v>
      </c>
    </row>
    <row r="16" spans="1:12" ht="15.75">
      <c r="A16" s="684"/>
      <c r="B16" s="682"/>
      <c r="C16" s="542"/>
      <c r="D16" s="559"/>
      <c r="E16" s="612">
        <f>D15/'Units &amp; Income'!E9</f>
        <v>517.15646035133807</v>
      </c>
      <c r="F16" s="36"/>
      <c r="G16" s="184"/>
      <c r="H16" s="603"/>
      <c r="K16" s="1112">
        <f>K14-K15</f>
        <v>7500000</v>
      </c>
      <c r="L16" s="1112">
        <f>K16*0.1</f>
        <v>750000</v>
      </c>
    </row>
    <row r="17" spans="1:16">
      <c r="A17" s="684"/>
      <c r="B17" s="682"/>
      <c r="C17" s="542"/>
      <c r="D17" s="564"/>
      <c r="E17" s="35"/>
      <c r="F17" s="36"/>
      <c r="G17" s="184"/>
      <c r="L17" s="1112">
        <f>SUM(L15:L16)</f>
        <v>4500000</v>
      </c>
    </row>
    <row r="18" spans="1:16">
      <c r="A18" s="741" t="s">
        <v>181</v>
      </c>
      <c r="B18" s="742"/>
      <c r="C18" s="753"/>
      <c r="D18" s="564"/>
      <c r="E18" s="35"/>
      <c r="F18" s="36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>
      <c r="A19" s="754"/>
      <c r="B19" s="742"/>
      <c r="C19" s="753"/>
      <c r="D19" s="565"/>
      <c r="E19" s="35"/>
      <c r="F19" s="36"/>
      <c r="G19" s="17"/>
      <c r="I19" s="183"/>
      <c r="K19" s="183"/>
      <c r="L19" s="1155">
        <f>L17/(K10+K12)</f>
        <v>0.27995520716685329</v>
      </c>
      <c r="M19" s="17"/>
      <c r="N19" s="17"/>
      <c r="O19" s="17"/>
      <c r="P19" s="17"/>
    </row>
    <row r="20" spans="1:16">
      <c r="A20" s="684" t="s">
        <v>49</v>
      </c>
      <c r="B20" s="682"/>
      <c r="C20" s="542"/>
      <c r="D20" s="528">
        <v>100000</v>
      </c>
      <c r="E20" s="168"/>
      <c r="F20" s="36"/>
      <c r="G20" s="17"/>
      <c r="H20" s="1109"/>
      <c r="I20" s="1109"/>
      <c r="J20" s="1109"/>
      <c r="K20" s="1110"/>
      <c r="L20" s="17"/>
      <c r="M20" s="17"/>
      <c r="N20" s="17"/>
      <c r="O20" s="17"/>
      <c r="P20" s="17"/>
    </row>
    <row r="21" spans="1:16">
      <c r="A21" s="684" t="s">
        <v>51</v>
      </c>
      <c r="B21" s="682"/>
      <c r="C21" s="755"/>
      <c r="D21" s="528">
        <f>(D10*0.05)</f>
        <v>1350000</v>
      </c>
      <c r="E21" s="756"/>
      <c r="F21" s="542"/>
      <c r="G21" s="927"/>
      <c r="L21" s="17"/>
      <c r="M21" s="17"/>
      <c r="N21" s="17"/>
      <c r="O21" s="17"/>
      <c r="P21" s="17"/>
    </row>
    <row r="22" spans="1:16">
      <c r="A22" s="684" t="s">
        <v>228</v>
      </c>
      <c r="B22" s="682"/>
      <c r="C22" s="542"/>
      <c r="D22" s="528">
        <v>25000</v>
      </c>
      <c r="E22" s="928"/>
      <c r="F22" s="542"/>
      <c r="G22" s="1056"/>
      <c r="L22" s="17"/>
      <c r="M22" s="17"/>
      <c r="N22" s="17"/>
      <c r="O22" s="17"/>
      <c r="P22" s="17"/>
    </row>
    <row r="23" spans="1:16">
      <c r="A23" s="684" t="s">
        <v>176</v>
      </c>
      <c r="B23" s="682"/>
      <c r="C23" s="542"/>
      <c r="D23" s="528">
        <v>0</v>
      </c>
      <c r="E23" s="928"/>
      <c r="F23" s="542"/>
      <c r="G23" s="664"/>
      <c r="H23" s="700"/>
      <c r="I23" s="183"/>
      <c r="K23" s="183"/>
      <c r="L23" s="17"/>
      <c r="M23" s="17"/>
      <c r="N23" s="17"/>
      <c r="O23" s="17"/>
      <c r="P23" s="17"/>
    </row>
    <row r="24" spans="1:16">
      <c r="A24" s="684" t="s">
        <v>76</v>
      </c>
      <c r="B24" s="682"/>
      <c r="C24" s="542"/>
      <c r="D24" s="528">
        <f>35000*0.6</f>
        <v>21000</v>
      </c>
      <c r="E24" s="1114" t="s">
        <v>468</v>
      </c>
      <c r="F24" s="542"/>
      <c r="G24" s="664"/>
      <c r="H24" s="598"/>
      <c r="I24" s="1109"/>
      <c r="J24" s="1109"/>
      <c r="K24" s="1110"/>
      <c r="L24" s="17"/>
      <c r="M24" s="17"/>
      <c r="N24" s="17"/>
      <c r="O24" s="17"/>
      <c r="P24" s="17"/>
    </row>
    <row r="25" spans="1:16">
      <c r="A25" s="684" t="s">
        <v>55</v>
      </c>
      <c r="B25" s="682"/>
      <c r="C25" s="542"/>
      <c r="D25" s="528">
        <v>100000</v>
      </c>
      <c r="E25" s="928"/>
      <c r="F25" s="542"/>
      <c r="G25" s="664"/>
      <c r="H25" s="533"/>
      <c r="I25" s="664"/>
      <c r="J25" s="664"/>
      <c r="K25" s="664"/>
      <c r="L25" s="17"/>
      <c r="M25" s="20"/>
      <c r="N25" s="20"/>
      <c r="O25" s="20"/>
      <c r="P25" s="16"/>
    </row>
    <row r="26" spans="1:16">
      <c r="A26" s="684" t="s">
        <v>429</v>
      </c>
      <c r="B26" s="756"/>
      <c r="C26" s="542"/>
      <c r="D26" s="528">
        <f>(30000+65000)*0.6</f>
        <v>57000</v>
      </c>
      <c r="E26" s="1114" t="s">
        <v>468</v>
      </c>
      <c r="F26" s="542"/>
      <c r="G26" s="664"/>
      <c r="H26" s="533"/>
      <c r="L26" s="17"/>
      <c r="M26" s="17"/>
      <c r="N26" s="21"/>
      <c r="O26" s="20"/>
      <c r="P26" s="16"/>
    </row>
    <row r="27" spans="1:16">
      <c r="A27" s="684" t="s">
        <v>361</v>
      </c>
      <c r="B27" s="598"/>
      <c r="C27" s="542"/>
      <c r="D27" s="1051">
        <f>10000*0.6</f>
        <v>6000</v>
      </c>
      <c r="E27" s="1114" t="s">
        <v>468</v>
      </c>
      <c r="F27" s="542"/>
      <c r="G27" s="664"/>
      <c r="J27" s="982"/>
      <c r="L27" s="17"/>
      <c r="M27" s="17"/>
      <c r="N27" s="16"/>
      <c r="O27" s="16"/>
      <c r="P27" s="17"/>
    </row>
    <row r="28" spans="1:16">
      <c r="A28" s="685" t="s">
        <v>349</v>
      </c>
      <c r="B28" s="598"/>
      <c r="C28" s="542"/>
      <c r="D28" s="528">
        <v>0</v>
      </c>
      <c r="E28" s="928"/>
      <c r="F28" s="542"/>
      <c r="G28" s="664"/>
      <c r="H28" s="533"/>
      <c r="I28" s="43" t="s">
        <v>115</v>
      </c>
      <c r="J28" s="43" t="s">
        <v>115</v>
      </c>
      <c r="L28" s="17"/>
      <c r="M28" s="17"/>
      <c r="N28" s="16"/>
      <c r="O28" s="16"/>
      <c r="P28" s="17"/>
    </row>
    <row r="29" spans="1:16">
      <c r="A29" s="684" t="s">
        <v>360</v>
      </c>
      <c r="B29" s="682"/>
      <c r="C29" s="542"/>
      <c r="D29" s="528">
        <f>20000*0.6</f>
        <v>12000</v>
      </c>
      <c r="E29" s="1114" t="s">
        <v>468</v>
      </c>
      <c r="F29" s="36"/>
      <c r="G29" s="17"/>
      <c r="H29" s="936"/>
      <c r="L29" s="17"/>
      <c r="M29" s="20"/>
      <c r="N29" s="20"/>
      <c r="O29" s="20"/>
      <c r="P29" s="16"/>
    </row>
    <row r="30" spans="1:16">
      <c r="A30" s="684" t="s">
        <v>56</v>
      </c>
      <c r="B30" s="682"/>
      <c r="C30" s="542"/>
      <c r="D30" s="528">
        <f>5000*0.6</f>
        <v>3000</v>
      </c>
      <c r="E30" s="1114" t="s">
        <v>468</v>
      </c>
      <c r="F30" s="36"/>
      <c r="G30" s="17"/>
      <c r="H30" s="533"/>
      <c r="I30" s="43" t="s">
        <v>115</v>
      </c>
      <c r="J30" s="43" t="s">
        <v>115</v>
      </c>
      <c r="L30" s="17"/>
      <c r="M30" s="17"/>
      <c r="N30" s="17"/>
      <c r="O30" s="17"/>
      <c r="P30" s="16"/>
    </row>
    <row r="31" spans="1:16">
      <c r="A31" s="684" t="s">
        <v>74</v>
      </c>
      <c r="B31" s="757">
        <v>8.0000000000000002E-3</v>
      </c>
      <c r="C31" s="542" t="s">
        <v>543</v>
      </c>
      <c r="D31" s="528">
        <f ca="1">B31*(D75+D76+D77)</f>
        <v>323388.03602014884</v>
      </c>
      <c r="E31" s="169"/>
      <c r="F31" s="36"/>
      <c r="G31" s="17"/>
      <c r="L31" s="17"/>
      <c r="M31" s="17"/>
      <c r="N31" s="17"/>
      <c r="O31" s="17"/>
      <c r="P31" s="17"/>
    </row>
    <row r="32" spans="1:16" ht="15.75">
      <c r="A32" s="684" t="s">
        <v>177</v>
      </c>
      <c r="B32" s="757"/>
      <c r="C32" s="542"/>
      <c r="D32" s="528">
        <f>7500*0.6</f>
        <v>4500</v>
      </c>
      <c r="E32" s="1114" t="s">
        <v>468</v>
      </c>
      <c r="F32" s="36"/>
      <c r="G32" s="664"/>
      <c r="H32" s="602"/>
      <c r="L32" s="664"/>
      <c r="M32" s="664"/>
      <c r="N32" s="664"/>
      <c r="O32" s="17"/>
      <c r="P32" s="17"/>
    </row>
    <row r="33" spans="1:16" ht="18" thickBot="1">
      <c r="A33" s="201" t="s">
        <v>319</v>
      </c>
      <c r="B33" s="75"/>
      <c r="C33" s="36"/>
      <c r="D33" s="566"/>
      <c r="E33" s="169"/>
      <c r="F33" s="36"/>
      <c r="G33" s="664"/>
      <c r="H33" s="664"/>
      <c r="L33" s="664"/>
      <c r="M33" s="937"/>
      <c r="N33" s="938"/>
      <c r="O33" s="21"/>
      <c r="P33" s="79"/>
    </row>
    <row r="34" spans="1:16" ht="15.75">
      <c r="A34" s="354" t="s">
        <v>52</v>
      </c>
      <c r="B34" s="134"/>
      <c r="C34" s="135"/>
      <c r="D34" s="559">
        <f ca="1">SUM(D20:D33)</f>
        <v>2001888.0360201488</v>
      </c>
      <c r="E34" s="35"/>
      <c r="F34" s="36"/>
      <c r="G34" s="664"/>
      <c r="H34" s="664"/>
      <c r="I34" s="664"/>
      <c r="J34" s="664"/>
      <c r="K34" s="664"/>
      <c r="L34" s="664"/>
      <c r="M34" s="532"/>
      <c r="N34" s="664"/>
      <c r="O34" s="17"/>
      <c r="P34" s="16"/>
    </row>
    <row r="35" spans="1:16">
      <c r="A35" s="27"/>
      <c r="B35" s="40"/>
      <c r="D35" s="564"/>
      <c r="E35" s="35"/>
      <c r="F35" s="36"/>
      <c r="G35" s="664"/>
      <c r="H35" s="664"/>
      <c r="I35" s="664"/>
      <c r="J35" s="664"/>
      <c r="K35" s="664"/>
      <c r="L35" s="664"/>
      <c r="M35" s="664"/>
      <c r="N35" s="664"/>
      <c r="O35" s="17"/>
      <c r="P35" s="16"/>
    </row>
    <row r="36" spans="1:16">
      <c r="A36" s="352" t="s">
        <v>315</v>
      </c>
      <c r="B36" s="40"/>
      <c r="D36" s="565"/>
      <c r="E36" s="35"/>
      <c r="F36" s="36"/>
      <c r="G36" s="664"/>
      <c r="H36" s="664"/>
      <c r="I36" s="664"/>
      <c r="J36" s="664"/>
      <c r="K36" s="1131" t="s">
        <v>461</v>
      </c>
      <c r="L36" s="664"/>
      <c r="M36" s="664"/>
      <c r="N36" s="664"/>
      <c r="O36" s="17"/>
      <c r="P36" s="16"/>
    </row>
    <row r="37" spans="1:16" s="136" customFormat="1">
      <c r="A37" s="691" t="s">
        <v>436</v>
      </c>
      <c r="B37" s="1133">
        <v>1.0999999999999999E-2</v>
      </c>
      <c r="C37" s="38" t="s">
        <v>437</v>
      </c>
      <c r="D37" s="567">
        <f>B37*'Cons Int &amp; Neg Arb'!C74</f>
        <v>251711.99290554618</v>
      </c>
      <c r="E37" s="639"/>
      <c r="F37" s="638"/>
      <c r="G37" s="721">
        <f>D37+D38+D39+D40+D41</f>
        <v>1673298.5058612004</v>
      </c>
      <c r="H37" s="623" t="s">
        <v>400</v>
      </c>
      <c r="I37" s="623"/>
      <c r="J37" s="623"/>
      <c r="K37" s="1132">
        <v>1.2500000000000001E-2</v>
      </c>
      <c r="L37" s="623"/>
      <c r="M37" s="623"/>
      <c r="N37" s="623"/>
      <c r="O37" s="640"/>
      <c r="P37" s="641"/>
    </row>
    <row r="38" spans="1:16" s="136" customFormat="1">
      <c r="A38" s="684" t="s">
        <v>438</v>
      </c>
      <c r="B38" s="1133">
        <v>1.35E-2</v>
      </c>
      <c r="C38" s="724" t="s">
        <v>439</v>
      </c>
      <c r="D38" s="567">
        <f>B38*'Cons Int &amp; Neg Arb'!C74*'Cons Int &amp; Neg Arb'!C16</f>
        <v>720811.61604770052</v>
      </c>
      <c r="E38" s="642"/>
      <c r="F38" s="643"/>
      <c r="G38" s="623"/>
      <c r="H38" s="623"/>
      <c r="I38" s="623"/>
      <c r="J38" s="623"/>
      <c r="K38" s="1132">
        <v>1.4999999999999999E-2</v>
      </c>
      <c r="L38" s="623"/>
      <c r="M38" s="939"/>
      <c r="N38" s="940"/>
      <c r="O38" s="644"/>
      <c r="P38" s="645"/>
    </row>
    <row r="39" spans="1:16">
      <c r="A39" s="684" t="s">
        <v>316</v>
      </c>
      <c r="B39" s="637">
        <v>7.4999999999999997E-3</v>
      </c>
      <c r="C39" s="724" t="s">
        <v>330</v>
      </c>
      <c r="D39" s="567">
        <f>B39*D75</f>
        <v>170090.99439513436</v>
      </c>
      <c r="E39" s="41"/>
      <c r="F39" s="39"/>
      <c r="G39" s="664"/>
      <c r="H39" s="664"/>
      <c r="I39" s="664"/>
      <c r="J39" s="664"/>
      <c r="K39" s="1122"/>
      <c r="L39" s="664"/>
      <c r="M39" s="532"/>
      <c r="N39" s="532"/>
      <c r="O39" s="20"/>
      <c r="P39" s="16"/>
    </row>
    <row r="40" spans="1:16">
      <c r="A40" s="684" t="s">
        <v>393</v>
      </c>
      <c r="B40" s="637">
        <v>1.4999999999999999E-2</v>
      </c>
      <c r="C40" s="724" t="s">
        <v>330</v>
      </c>
      <c r="D40" s="528">
        <f>B40*D75</f>
        <v>340181.98879026872</v>
      </c>
      <c r="E40" s="37"/>
      <c r="F40" s="36"/>
      <c r="G40" s="623"/>
      <c r="H40" s="623"/>
      <c r="I40" s="623"/>
      <c r="J40" s="623"/>
      <c r="K40" s="623"/>
      <c r="L40" s="623"/>
      <c r="M40" s="623"/>
      <c r="N40" s="998"/>
      <c r="O40" s="592"/>
      <c r="P40" s="626"/>
    </row>
    <row r="41" spans="1:16">
      <c r="A41" s="684" t="s">
        <v>440</v>
      </c>
      <c r="B41" s="637">
        <v>8.3999999999999995E-3</v>
      </c>
      <c r="C41" s="724" t="s">
        <v>330</v>
      </c>
      <c r="D41" s="531">
        <f>B41*D75</f>
        <v>190501.91372255047</v>
      </c>
      <c r="E41" s="35"/>
      <c r="F41" s="36"/>
      <c r="G41" s="623"/>
      <c r="H41" s="623"/>
      <c r="I41" s="623"/>
      <c r="J41" s="623"/>
      <c r="K41" s="623"/>
      <c r="L41" s="623"/>
      <c r="M41" s="623"/>
      <c r="N41" s="623"/>
      <c r="O41" s="623"/>
      <c r="P41" s="623"/>
    </row>
    <row r="42" spans="1:16" s="136" customFormat="1">
      <c r="A42" s="685" t="s">
        <v>348</v>
      </c>
      <c r="B42" s="529"/>
      <c r="C42" s="157"/>
      <c r="D42" s="568">
        <f>(80*F2)+100+250</f>
        <v>8350</v>
      </c>
      <c r="E42" s="537" t="s">
        <v>372</v>
      </c>
      <c r="F42" s="157"/>
      <c r="G42" s="623"/>
      <c r="H42" s="623"/>
      <c r="I42" s="623"/>
      <c r="J42" s="623"/>
      <c r="K42" s="623"/>
      <c r="L42" s="623"/>
      <c r="M42" s="623"/>
      <c r="N42" s="623"/>
      <c r="O42" s="623"/>
      <c r="P42" s="623"/>
    </row>
    <row r="43" spans="1:16" s="136" customFormat="1" ht="14.25" customHeight="1">
      <c r="A43" s="685" t="s">
        <v>385</v>
      </c>
      <c r="B43" s="609">
        <v>5.0000000000000001E-4</v>
      </c>
      <c r="C43" s="610" t="s">
        <v>362</v>
      </c>
      <c r="D43" s="568">
        <f>2000</f>
        <v>2000</v>
      </c>
      <c r="E43" s="158"/>
      <c r="F43" s="157"/>
      <c r="G43" s="623"/>
      <c r="H43" s="623"/>
      <c r="I43" s="623"/>
      <c r="J43" s="623"/>
      <c r="K43" s="623"/>
      <c r="L43" s="623"/>
      <c r="M43" s="623"/>
      <c r="N43" s="623"/>
      <c r="O43" s="623"/>
      <c r="P43" s="623"/>
    </row>
    <row r="44" spans="1:16" s="598" customFormat="1" ht="15.75" thickBot="1">
      <c r="A44" s="685" t="s">
        <v>386</v>
      </c>
      <c r="B44" s="646">
        <v>0.05</v>
      </c>
      <c r="C44" s="1008" t="s">
        <v>401</v>
      </c>
      <c r="D44" s="1009">
        <f>(B44*('Tax Credit '!H14))</f>
        <v>77647.022537500001</v>
      </c>
      <c r="E44" s="1010" t="s">
        <v>463</v>
      </c>
      <c r="F44" s="542"/>
      <c r="G44" s="623"/>
      <c r="H44" s="623"/>
      <c r="I44" s="623"/>
      <c r="J44" s="623"/>
      <c r="K44" s="623"/>
      <c r="L44" s="623"/>
      <c r="M44" s="999"/>
      <c r="N44" s="940"/>
      <c r="O44" s="998"/>
      <c r="P44" s="1000"/>
    </row>
    <row r="45" spans="1:16" ht="15.75">
      <c r="A45" s="354" t="s">
        <v>52</v>
      </c>
      <c r="B45" s="134"/>
      <c r="C45" s="135"/>
      <c r="D45" s="559">
        <f>SUM(D37:D44)</f>
        <v>1761295.5283987003</v>
      </c>
      <c r="E45" s="35"/>
      <c r="F45" s="36"/>
      <c r="G45" s="623"/>
      <c r="H45" s="623"/>
      <c r="I45" s="623"/>
      <c r="J45" s="623"/>
      <c r="K45" s="623"/>
      <c r="L45" s="623"/>
      <c r="M45" s="623"/>
      <c r="N45" s="623"/>
      <c r="O45" s="623"/>
      <c r="P45" s="623"/>
    </row>
    <row r="46" spans="1:16">
      <c r="A46" s="202"/>
      <c r="B46" s="139"/>
      <c r="C46" s="36"/>
      <c r="D46" s="569"/>
      <c r="E46" s="35"/>
      <c r="F46" s="36"/>
      <c r="G46" s="623"/>
      <c r="H46" s="623"/>
      <c r="I46" s="623"/>
      <c r="J46" s="623"/>
      <c r="K46" s="623"/>
      <c r="L46" s="623"/>
      <c r="M46" s="623"/>
      <c r="N46" s="623"/>
      <c r="O46" s="623"/>
      <c r="P46" s="623"/>
    </row>
    <row r="47" spans="1:16">
      <c r="A47" s="352" t="s">
        <v>313</v>
      </c>
      <c r="B47" s="35"/>
      <c r="C47" s="36"/>
      <c r="D47" s="570"/>
      <c r="E47" s="35"/>
      <c r="F47" s="36"/>
      <c r="G47" s="623"/>
      <c r="H47" s="623"/>
      <c r="I47" s="623"/>
      <c r="J47" s="623"/>
      <c r="K47" s="623"/>
      <c r="L47" s="623"/>
      <c r="M47" s="623"/>
      <c r="N47" s="623"/>
      <c r="O47" s="623"/>
      <c r="P47" s="623"/>
    </row>
    <row r="48" spans="1:16">
      <c r="A48" s="684" t="s">
        <v>57</v>
      </c>
      <c r="B48" s="35"/>
      <c r="C48" s="77"/>
      <c r="D48" s="567">
        <f ca="1">'Cons Int &amp; Neg Arb'!F42</f>
        <v>2922241.7918891991</v>
      </c>
      <c r="E48" s="37" t="s">
        <v>314</v>
      </c>
      <c r="F48" s="36"/>
      <c r="G48" s="623"/>
      <c r="H48" s="623"/>
      <c r="I48" s="623"/>
      <c r="J48" s="623"/>
      <c r="K48" s="623"/>
      <c r="L48" s="623"/>
      <c r="M48" s="999"/>
      <c r="N48" s="623"/>
      <c r="O48" s="623"/>
      <c r="P48" s="623"/>
    </row>
    <row r="49" spans="1:16">
      <c r="A49" s="691" t="s">
        <v>441</v>
      </c>
      <c r="B49" s="35"/>
      <c r="C49" s="36"/>
      <c r="D49" s="567">
        <f>'Cons Int &amp; Neg Arb'!B67+100000</f>
        <v>586024.83234935836</v>
      </c>
      <c r="E49" s="37"/>
      <c r="F49" s="77"/>
      <c r="G49" s="623"/>
      <c r="H49" s="623"/>
      <c r="I49" s="623"/>
      <c r="J49" s="623"/>
      <c r="K49" s="623"/>
      <c r="L49" s="623"/>
      <c r="M49" s="623"/>
      <c r="N49" s="623"/>
      <c r="O49" s="623"/>
      <c r="P49" s="623"/>
    </row>
    <row r="50" spans="1:16">
      <c r="A50" s="684" t="s">
        <v>347</v>
      </c>
      <c r="B50" s="76"/>
      <c r="C50" s="36"/>
      <c r="D50" s="571"/>
      <c r="E50" s="37" t="s">
        <v>368</v>
      </c>
      <c r="F50" s="36"/>
      <c r="G50" s="623"/>
      <c r="H50" s="735"/>
      <c r="I50" s="623"/>
      <c r="J50" s="1001"/>
      <c r="K50" s="1001"/>
      <c r="L50" s="623"/>
      <c r="M50" s="623"/>
      <c r="N50" s="623"/>
      <c r="O50" s="623"/>
      <c r="P50" s="623"/>
    </row>
    <row r="51" spans="1:16">
      <c r="A51" s="684" t="s">
        <v>184</v>
      </c>
      <c r="B51" s="35"/>
      <c r="C51" s="36"/>
      <c r="D51" s="647">
        <v>0</v>
      </c>
      <c r="E51" s="35"/>
      <c r="F51" s="36"/>
      <c r="G51" s="623"/>
      <c r="H51" s="623"/>
      <c r="I51" s="623"/>
      <c r="J51" s="1002"/>
      <c r="K51" s="1002"/>
      <c r="L51" s="623"/>
      <c r="M51" s="623"/>
      <c r="N51" s="623"/>
      <c r="O51" s="623"/>
      <c r="P51" s="623"/>
    </row>
    <row r="52" spans="1:16">
      <c r="A52" s="684" t="s">
        <v>59</v>
      </c>
      <c r="B52" s="35"/>
      <c r="C52" s="36"/>
      <c r="D52" s="647">
        <v>0</v>
      </c>
      <c r="E52" s="35"/>
      <c r="F52" s="36"/>
      <c r="G52" s="1001"/>
      <c r="H52" s="1001"/>
      <c r="I52" s="1001"/>
      <c r="J52" s="1001"/>
      <c r="K52" s="1001"/>
      <c r="L52" s="623"/>
      <c r="M52" s="623"/>
      <c r="N52" s="623"/>
      <c r="O52" s="623"/>
      <c r="P52" s="623"/>
    </row>
    <row r="53" spans="1:16" s="84" customFormat="1">
      <c r="A53" s="684" t="s">
        <v>58</v>
      </c>
      <c r="B53" s="1017"/>
      <c r="C53" s="36"/>
      <c r="D53" s="647">
        <f>90000*0.6</f>
        <v>54000</v>
      </c>
      <c r="E53" s="1114" t="s">
        <v>468</v>
      </c>
      <c r="F53" s="36"/>
      <c r="G53" s="1013"/>
      <c r="H53" s="1014"/>
      <c r="I53" s="2"/>
      <c r="J53" s="1063"/>
      <c r="K53" s="1015"/>
      <c r="L53" s="708"/>
      <c r="M53" s="708"/>
      <c r="N53" s="708"/>
      <c r="O53" s="708"/>
      <c r="P53" s="1016"/>
    </row>
    <row r="54" spans="1:16">
      <c r="A54" s="685" t="s">
        <v>60</v>
      </c>
      <c r="B54" s="760"/>
      <c r="C54" s="761"/>
      <c r="D54" s="562">
        <f>(G54*('Units &amp; Income_rent'!H61+'Units &amp; Income_rent'!H69)+('Units &amp; Income_rent'!H77*G55))</f>
        <v>262500</v>
      </c>
      <c r="E54" s="762"/>
      <c r="F54" s="767"/>
      <c r="G54" s="1003">
        <v>2800</v>
      </c>
      <c r="H54" s="1001" t="s">
        <v>469</v>
      </c>
      <c r="I54" s="1057"/>
      <c r="J54" s="513"/>
      <c r="K54" s="1004"/>
      <c r="L54" s="623"/>
      <c r="M54" s="623"/>
      <c r="N54" s="623"/>
      <c r="O54" s="623"/>
      <c r="P54" s="623"/>
    </row>
    <row r="55" spans="1:16" ht="15.75">
      <c r="A55" s="684" t="s">
        <v>82</v>
      </c>
      <c r="B55" s="127"/>
      <c r="C55" s="501"/>
      <c r="D55" s="572">
        <v>0</v>
      </c>
      <c r="E55" s="138"/>
      <c r="F55" s="137"/>
      <c r="G55" s="1003">
        <v>3500</v>
      </c>
      <c r="H55" s="1001" t="s">
        <v>470</v>
      </c>
      <c r="J55" s="934"/>
      <c r="K55" s="702"/>
      <c r="L55" s="765"/>
      <c r="M55" s="702"/>
      <c r="N55" s="702"/>
      <c r="O55" s="702"/>
      <c r="P55" s="702"/>
    </row>
    <row r="56" spans="1:16" s="598" customFormat="1" ht="18" thickBot="1">
      <c r="A56" s="685" t="s">
        <v>395</v>
      </c>
      <c r="B56" s="742"/>
      <c r="C56" s="542"/>
      <c r="D56" s="1054"/>
      <c r="E56" s="1055"/>
      <c r="F56" s="542"/>
      <c r="G56" s="1003"/>
      <c r="H56" s="1004"/>
      <c r="I56" s="1064"/>
      <c r="J56" s="934"/>
      <c r="K56" s="623"/>
      <c r="L56" s="623"/>
      <c r="M56" s="999"/>
      <c r="N56" s="940"/>
      <c r="O56" s="998"/>
      <c r="P56" s="1000"/>
    </row>
    <row r="57" spans="1:16" ht="15.75">
      <c r="A57" s="354" t="s">
        <v>52</v>
      </c>
      <c r="B57" s="127"/>
      <c r="C57" s="127"/>
      <c r="D57" s="559">
        <f ca="1">SUM(D48:D56)</f>
        <v>3824766.6242385572</v>
      </c>
      <c r="E57" s="138"/>
      <c r="F57" s="137"/>
      <c r="G57" s="1005"/>
      <c r="H57" s="994"/>
      <c r="I57" s="2"/>
      <c r="J57" s="652"/>
      <c r="K57" s="702"/>
      <c r="L57" s="702"/>
      <c r="M57" s="702"/>
      <c r="N57" s="702"/>
      <c r="O57" s="702"/>
      <c r="P57" s="702"/>
    </row>
    <row r="58" spans="1:16">
      <c r="A58" s="27"/>
      <c r="B58" s="35"/>
      <c r="C58" s="36"/>
      <c r="D58" s="573"/>
      <c r="E58" s="35"/>
      <c r="F58" s="36"/>
      <c r="G58" s="1001"/>
      <c r="H58" s="1001"/>
      <c r="I58" s="1001"/>
      <c r="J58" s="623"/>
      <c r="K58" s="623"/>
      <c r="L58" s="623"/>
      <c r="M58" s="623"/>
      <c r="N58" s="623"/>
      <c r="O58" s="623"/>
      <c r="P58" s="623"/>
    </row>
    <row r="59" spans="1:16">
      <c r="A59" s="352" t="s">
        <v>204</v>
      </c>
      <c r="B59" s="35"/>
      <c r="C59" s="36"/>
      <c r="D59" s="573"/>
      <c r="E59" s="35"/>
      <c r="F59" s="36"/>
      <c r="G59" s="994"/>
      <c r="H59" s="1001"/>
      <c r="I59" s="1001"/>
      <c r="J59" s="623"/>
      <c r="K59" s="735"/>
      <c r="L59" s="735"/>
      <c r="M59" s="623"/>
      <c r="N59" s="623"/>
      <c r="O59" s="623"/>
      <c r="P59" s="623"/>
    </row>
    <row r="60" spans="1:16">
      <c r="A60" s="684" t="s">
        <v>387</v>
      </c>
      <c r="B60" s="35"/>
      <c r="C60" s="36"/>
      <c r="D60" s="562">
        <f>F2*1000</f>
        <v>100000</v>
      </c>
      <c r="E60" s="277"/>
      <c r="F60" s="36"/>
      <c r="G60" s="1006"/>
      <c r="H60" s="994"/>
      <c r="I60" s="994"/>
      <c r="J60" s="623"/>
      <c r="K60" s="623"/>
      <c r="L60" s="623"/>
      <c r="M60" s="623"/>
      <c r="N60" s="623"/>
      <c r="O60" s="623"/>
      <c r="P60" s="623"/>
    </row>
    <row r="61" spans="1:16">
      <c r="A61" s="684" t="s">
        <v>227</v>
      </c>
      <c r="B61" s="35"/>
      <c r="C61" s="36"/>
      <c r="D61" s="562"/>
      <c r="E61" s="277" t="s">
        <v>369</v>
      </c>
      <c r="F61" s="36"/>
      <c r="G61" s="623"/>
      <c r="H61" s="623"/>
      <c r="I61" s="623"/>
      <c r="J61" s="623"/>
      <c r="K61" s="623"/>
      <c r="L61" s="623"/>
      <c r="M61" s="623"/>
      <c r="N61" s="623"/>
      <c r="O61" s="623"/>
      <c r="P61" s="623"/>
    </row>
    <row r="62" spans="1:16">
      <c r="A62" s="684" t="s">
        <v>183</v>
      </c>
      <c r="B62" s="548"/>
      <c r="C62" s="553" t="s">
        <v>104</v>
      </c>
      <c r="D62" s="562">
        <f>'Cash Flow'!C31</f>
        <v>961024.66260869568</v>
      </c>
      <c r="E62" s="1134" t="s">
        <v>462</v>
      </c>
      <c r="F62" s="36"/>
      <c r="G62" s="705"/>
      <c r="H62" s="706"/>
      <c r="I62" s="1007"/>
      <c r="J62" s="721"/>
      <c r="K62" s="623"/>
      <c r="L62" s="623"/>
      <c r="M62" s="623"/>
      <c r="N62" s="623"/>
      <c r="O62" s="623"/>
      <c r="P62" s="623"/>
    </row>
    <row r="63" spans="1:16">
      <c r="A63" s="684" t="s">
        <v>229</v>
      </c>
      <c r="B63" s="682"/>
      <c r="C63" s="764"/>
      <c r="D63" s="562"/>
      <c r="E63" s="763"/>
      <c r="F63" s="758"/>
      <c r="G63" s="623"/>
      <c r="H63" s="623"/>
      <c r="I63" s="623"/>
      <c r="J63" s="735"/>
      <c r="K63" s="623"/>
      <c r="L63" s="623"/>
      <c r="M63" s="623"/>
      <c r="N63" s="623"/>
      <c r="O63" s="623"/>
      <c r="P63" s="623"/>
    </row>
    <row r="64" spans="1:16" s="598" customFormat="1" ht="15.75" thickBot="1">
      <c r="A64" s="684" t="s">
        <v>81</v>
      </c>
      <c r="B64" s="1011"/>
      <c r="C64" s="542"/>
      <c r="D64" s="1009">
        <v>245000</v>
      </c>
      <c r="E64" s="1012">
        <f ca="1">D64/D67</f>
        <v>2.7546738561456917E-2</v>
      </c>
      <c r="F64" s="542" t="s">
        <v>111</v>
      </c>
      <c r="G64" s="623"/>
      <c r="H64" s="702"/>
      <c r="I64" s="623"/>
      <c r="J64" s="623"/>
      <c r="K64" s="623"/>
      <c r="L64" s="623"/>
      <c r="M64" s="623"/>
      <c r="N64" s="623"/>
      <c r="O64" s="623"/>
      <c r="P64" s="623"/>
    </row>
    <row r="65" spans="1:16" ht="15.75">
      <c r="A65" s="554" t="s">
        <v>52</v>
      </c>
      <c r="B65" s="35"/>
      <c r="C65" s="36"/>
      <c r="D65" s="559">
        <f>SUM(D59:D64)</f>
        <v>1306024.6626086957</v>
      </c>
      <c r="E65" s="41"/>
      <c r="F65" s="542"/>
      <c r="G65" s="592"/>
      <c r="H65" s="623"/>
      <c r="I65" s="623"/>
      <c r="J65" s="623"/>
      <c r="K65" s="623"/>
      <c r="L65" s="623"/>
      <c r="M65" s="623"/>
      <c r="N65" s="623"/>
      <c r="O65" s="623"/>
      <c r="P65" s="623"/>
    </row>
    <row r="66" spans="1:16">
      <c r="A66" s="27"/>
      <c r="B66" s="35"/>
      <c r="C66" s="36"/>
      <c r="D66" s="564"/>
      <c r="E66" s="41"/>
      <c r="F66" s="542"/>
      <c r="G66" s="721"/>
      <c r="H66" s="623"/>
      <c r="I66" s="623"/>
      <c r="J66" s="623"/>
      <c r="K66" s="623"/>
      <c r="L66" s="623"/>
      <c r="M66" s="623"/>
      <c r="N66" s="623"/>
      <c r="O66" s="623"/>
      <c r="P66" s="623"/>
    </row>
    <row r="67" spans="1:16" ht="15.75">
      <c r="A67" s="555" t="s">
        <v>110</v>
      </c>
      <c r="B67" s="35"/>
      <c r="C67" s="36"/>
      <c r="D67" s="559">
        <f ca="1">D34+D45+D57+D65</f>
        <v>8893974.8512661029</v>
      </c>
      <c r="E67" s="41"/>
      <c r="F67" s="542"/>
      <c r="G67" s="995">
        <f ca="1">D67/D15</f>
        <v>0.3137204533074463</v>
      </c>
      <c r="H67" s="713"/>
      <c r="I67" s="996"/>
      <c r="J67" s="623"/>
      <c r="K67" s="623"/>
      <c r="L67" s="623"/>
      <c r="M67" s="623"/>
      <c r="N67" s="623"/>
      <c r="O67" s="623"/>
      <c r="P67" s="623"/>
    </row>
    <row r="68" spans="1:16">
      <c r="A68" s="27"/>
      <c r="B68" s="35"/>
      <c r="C68" s="36"/>
      <c r="D68" s="564"/>
      <c r="E68" s="26"/>
      <c r="F68" s="722"/>
      <c r="G68" s="623"/>
      <c r="H68" s="623"/>
      <c r="I68" s="623"/>
      <c r="J68" s="623"/>
      <c r="K68" s="623"/>
      <c r="L68" s="623"/>
      <c r="M68" s="623"/>
      <c r="N68" s="623"/>
      <c r="O68" s="623"/>
      <c r="P68" s="623"/>
    </row>
    <row r="69" spans="1:16" ht="15.75">
      <c r="A69" s="352" t="s">
        <v>61</v>
      </c>
      <c r="B69" s="130"/>
      <c r="C69" s="131"/>
      <c r="D69" s="562">
        <f ca="1">(D15+D67-D65)*0.12</f>
        <v>4312554.0226388881</v>
      </c>
      <c r="E69" s="80">
        <f ca="1">D69/(D72-D69)</f>
        <v>0.10509203298495128</v>
      </c>
      <c r="F69" s="723" t="s">
        <v>329</v>
      </c>
      <c r="G69" s="623"/>
      <c r="I69" s="1065"/>
      <c r="J69" s="1066"/>
      <c r="L69" s="702"/>
      <c r="M69" s="702"/>
      <c r="N69" s="702"/>
      <c r="O69" s="702"/>
      <c r="P69" s="702"/>
    </row>
    <row r="70" spans="1:16" ht="15.75">
      <c r="A70" s="27"/>
      <c r="B70" s="35"/>
      <c r="C70" s="36"/>
      <c r="D70" s="164"/>
      <c r="E70" s="757">
        <f ca="1">D69/(D15+(D67-D65))</f>
        <v>0.12</v>
      </c>
      <c r="F70" s="724" t="s">
        <v>359</v>
      </c>
      <c r="G70" s="702"/>
      <c r="H70" s="997"/>
      <c r="I70" s="702"/>
      <c r="J70" s="702"/>
      <c r="K70" s="702"/>
      <c r="L70" s="702"/>
      <c r="M70" s="702"/>
      <c r="N70" s="702"/>
      <c r="O70" s="702"/>
      <c r="P70" s="702"/>
    </row>
    <row r="71" spans="1:16">
      <c r="A71" s="27"/>
      <c r="B71" s="35"/>
      <c r="C71" s="36"/>
      <c r="D71" s="163"/>
      <c r="E71" s="35"/>
      <c r="F71" s="542"/>
      <c r="G71" s="702"/>
      <c r="H71" s="702"/>
      <c r="I71" s="702"/>
      <c r="J71" s="704"/>
      <c r="K71" s="702"/>
      <c r="L71" s="702"/>
      <c r="M71" s="702"/>
      <c r="N71" s="702"/>
      <c r="O71" s="702"/>
      <c r="P71" s="702"/>
    </row>
    <row r="72" spans="1:16" ht="15.75">
      <c r="A72" s="355" t="s">
        <v>62</v>
      </c>
      <c r="B72" s="64"/>
      <c r="C72" s="65"/>
      <c r="D72" s="913">
        <f ca="1">D6+D15+D67+D69</f>
        <v>45348528.873904988</v>
      </c>
      <c r="E72" s="726">
        <f ca="1">D72/F2</f>
        <v>453485.28873904987</v>
      </c>
      <c r="F72" s="727" t="s">
        <v>104</v>
      </c>
      <c r="G72" s="1038">
        <v>45348528.799609244</v>
      </c>
      <c r="H72" s="1038" t="s">
        <v>536</v>
      </c>
      <c r="I72" s="918"/>
      <c r="J72" s="919">
        <f>I72*0.05</f>
        <v>0</v>
      </c>
      <c r="K72" s="700"/>
      <c r="L72" s="598"/>
      <c r="M72" s="598"/>
      <c r="N72" s="598"/>
    </row>
    <row r="73" spans="1:16">
      <c r="A73" s="17"/>
      <c r="B73" s="17"/>
      <c r="C73" s="17"/>
      <c r="D73" s="166"/>
      <c r="F73" s="532"/>
      <c r="G73" s="702"/>
      <c r="H73" s="702"/>
      <c r="I73" s="702"/>
      <c r="K73" s="598"/>
      <c r="L73" s="598"/>
      <c r="M73" s="598"/>
      <c r="N73" s="598"/>
    </row>
    <row r="74" spans="1:16" ht="15.75">
      <c r="A74" s="1" t="s">
        <v>80</v>
      </c>
      <c r="B74" s="17"/>
      <c r="C74" s="184"/>
      <c r="D74" s="165"/>
      <c r="E74" s="81"/>
      <c r="F74" s="703"/>
      <c r="G74" s="920">
        <f ca="1">D72*0.02</f>
        <v>906970.57747809973</v>
      </c>
      <c r="H74" s="702"/>
      <c r="I74" s="728"/>
      <c r="K74" s="598"/>
      <c r="L74" s="598"/>
      <c r="M74" s="598"/>
      <c r="N74" s="598"/>
    </row>
    <row r="75" spans="1:16">
      <c r="A75" s="3" t="str">
        <f>A88</f>
        <v>First Mortgage (Lender:  HDC Tax-Exempt Bonds  )</v>
      </c>
      <c r="B75" s="17"/>
      <c r="C75" s="184"/>
      <c r="D75" s="541">
        <f>G72*0.5001</f>
        <v>22678799.252684582</v>
      </c>
      <c r="E75" s="21">
        <f ca="1">D75/$D$72</f>
        <v>0.50009999918067238</v>
      </c>
      <c r="F75" s="652"/>
      <c r="G75" s="921">
        <f ca="1">G74-D56</f>
        <v>906970.57747809973</v>
      </c>
      <c r="H75" s="702"/>
      <c r="I75" s="1090"/>
      <c r="J75" s="598"/>
      <c r="K75" s="598"/>
      <c r="L75" s="598"/>
      <c r="M75" s="598"/>
      <c r="N75" s="598"/>
    </row>
    <row r="76" spans="1:16">
      <c r="A76" s="662" t="s">
        <v>488</v>
      </c>
      <c r="B76" s="17"/>
      <c r="C76" s="184"/>
      <c r="D76" s="541">
        <f ca="1">D72-D75-D77-D80-D81-D83</f>
        <v>8034705.2498340188</v>
      </c>
      <c r="E76" s="21">
        <f t="shared" ref="E76:E81" ca="1" si="0">D76/$D$72</f>
        <v>0.17717675632158045</v>
      </c>
      <c r="F76" s="532"/>
      <c r="G76" s="922">
        <f ca="1">D81-288</f>
        <v>4312266.0226388881</v>
      </c>
      <c r="H76" s="702"/>
      <c r="I76" s="702"/>
      <c r="J76" s="1020"/>
      <c r="K76" s="598"/>
      <c r="L76" s="598"/>
      <c r="M76" s="598"/>
      <c r="N76" s="598"/>
    </row>
    <row r="77" spans="1:16">
      <c r="A77" s="66" t="str">
        <f>A90</f>
        <v>Third Mortgage (Lender:  City capital subsidy- perm units)</v>
      </c>
      <c r="C77" s="183"/>
      <c r="D77" s="541">
        <f>D89</f>
        <v>9710000</v>
      </c>
      <c r="E77" s="21">
        <f t="shared" ca="1" si="0"/>
        <v>0.21411940455663708</v>
      </c>
      <c r="F77" s="598"/>
      <c r="G77" s="702"/>
      <c r="H77" s="704"/>
      <c r="I77" s="702"/>
      <c r="J77" s="1020"/>
      <c r="K77" s="598"/>
      <c r="L77" s="598"/>
      <c r="M77" s="598"/>
      <c r="N77" s="598"/>
    </row>
    <row r="78" spans="1:16" hidden="1">
      <c r="A78" s="66" t="str">
        <f>A91</f>
        <v>Fourth Mortgage (Lender:                                )</v>
      </c>
      <c r="C78" s="183"/>
      <c r="D78" s="541">
        <f>D91</f>
        <v>0</v>
      </c>
      <c r="E78" s="21">
        <f t="shared" ca="1" si="0"/>
        <v>0</v>
      </c>
      <c r="F78" s="652"/>
      <c r="G78" s="702"/>
      <c r="H78" s="704"/>
      <c r="I78" s="702"/>
      <c r="J78" s="598"/>
      <c r="K78" s="598"/>
      <c r="L78" s="598"/>
      <c r="M78" s="598"/>
      <c r="N78" s="598"/>
    </row>
    <row r="79" spans="1:16" hidden="1">
      <c r="A79" s="66" t="s">
        <v>353</v>
      </c>
      <c r="C79" s="183"/>
      <c r="D79" s="541">
        <v>0</v>
      </c>
      <c r="E79" s="21">
        <f t="shared" ca="1" si="0"/>
        <v>0</v>
      </c>
      <c r="F79" s="607"/>
      <c r="G79" s="702"/>
      <c r="H79" s="704"/>
      <c r="I79" s="702"/>
      <c r="J79" s="598"/>
      <c r="K79" s="598"/>
      <c r="L79" s="598"/>
      <c r="M79" s="598"/>
      <c r="N79" s="598"/>
    </row>
    <row r="80" spans="1:16">
      <c r="A80" s="66" t="str">
        <f>A93</f>
        <v>Tax Credit Equity</v>
      </c>
      <c r="B80" s="1052"/>
      <c r="C80" s="183"/>
      <c r="D80" s="541">
        <f>D93*0.03</f>
        <v>512470.34874749999</v>
      </c>
      <c r="E80" s="21">
        <f t="shared" ca="1" si="0"/>
        <v>1.1300705038799881E-2</v>
      </c>
      <c r="F80" s="925">
        <f>D80/D93</f>
        <v>0.03</v>
      </c>
      <c r="G80" s="926" t="s">
        <v>428</v>
      </c>
      <c r="H80" s="704"/>
      <c r="I80" s="702"/>
      <c r="J80" s="1053"/>
      <c r="L80" s="598"/>
      <c r="M80" s="598"/>
      <c r="N80" s="598"/>
    </row>
    <row r="81" spans="1:14">
      <c r="A81" s="66" t="str">
        <f>A94</f>
        <v>Deferred Developer's Fee</v>
      </c>
      <c r="C81" s="183"/>
      <c r="D81" s="541">
        <f ca="1">D69</f>
        <v>4312554.0226388881</v>
      </c>
      <c r="E81" s="21">
        <f t="shared" ca="1" si="0"/>
        <v>9.5097991703992663E-2</v>
      </c>
      <c r="F81" s="607"/>
      <c r="G81" s="705"/>
      <c r="H81" s="706"/>
      <c r="I81" s="713"/>
      <c r="J81" s="1053"/>
      <c r="K81" s="493"/>
      <c r="L81" s="598"/>
      <c r="M81" s="598"/>
      <c r="N81" s="598"/>
    </row>
    <row r="82" spans="1:14" hidden="1">
      <c r="A82" s="66" t="str">
        <f>A95</f>
        <v>Other source (Specify:       )</v>
      </c>
      <c r="C82" s="183"/>
      <c r="D82" s="541">
        <v>0</v>
      </c>
      <c r="E82" s="21">
        <f ca="1">D82/$D$72</f>
        <v>0</v>
      </c>
      <c r="F82" s="652"/>
      <c r="G82" s="721"/>
      <c r="H82" s="704"/>
      <c r="I82" s="702"/>
      <c r="J82" s="713"/>
      <c r="K82" s="598"/>
      <c r="L82" s="598"/>
      <c r="M82" s="598"/>
      <c r="N82" s="598"/>
    </row>
    <row r="83" spans="1:14">
      <c r="A83" s="3" t="s">
        <v>396</v>
      </c>
      <c r="C83" s="183"/>
      <c r="D83" s="541">
        <f>D60</f>
        <v>100000</v>
      </c>
      <c r="E83" s="21">
        <f ca="1">D83/$D$72</f>
        <v>2.2051431983175808E-3</v>
      </c>
      <c r="F83" s="652"/>
      <c r="G83" s="735"/>
      <c r="H83" s="704"/>
      <c r="I83" s="1061"/>
      <c r="J83" s="713"/>
      <c r="K83" s="598"/>
      <c r="L83" s="923"/>
      <c r="M83" s="598"/>
      <c r="N83" s="598"/>
    </row>
    <row r="84" spans="1:14" hidden="1">
      <c r="A84" s="66" t="str">
        <f>A96</f>
        <v>Other source (Specify: Reso A funds                       )</v>
      </c>
      <c r="C84" s="183"/>
      <c r="D84" s="541">
        <v>0</v>
      </c>
      <c r="E84" s="21">
        <f ca="1">D84/$D$72</f>
        <v>0</v>
      </c>
      <c r="F84" s="598"/>
      <c r="G84" s="734"/>
      <c r="H84" s="704"/>
      <c r="I84" s="702"/>
      <c r="J84" s="1030"/>
      <c r="K84" s="598"/>
      <c r="L84" s="598"/>
      <c r="M84" s="598"/>
      <c r="N84" s="598"/>
    </row>
    <row r="85" spans="1:14" ht="15.75">
      <c r="A85" s="17" t="s">
        <v>1</v>
      </c>
      <c r="C85" s="183"/>
      <c r="D85" s="1018">
        <f ca="1">D75+D76+D77+D79+D80+D81+D82+D84+D83</f>
        <v>45348528.873904988</v>
      </c>
      <c r="E85" s="512">
        <f ca="1">E75+E76+E77+E79+E80+E81+E82+E84+E83</f>
        <v>1.0000000000000002</v>
      </c>
      <c r="F85" s="598"/>
      <c r="G85" s="623"/>
      <c r="H85" s="704"/>
      <c r="I85" s="707"/>
      <c r="J85" s="598"/>
      <c r="K85" s="598"/>
      <c r="L85" s="598"/>
      <c r="M85" s="598"/>
      <c r="N85" s="598"/>
    </row>
    <row r="86" spans="1:14">
      <c r="A86" s="1336" t="s">
        <v>394</v>
      </c>
      <c r="B86" s="700"/>
      <c r="C86" s="1337"/>
      <c r="D86" s="1338">
        <f ca="1">D72-D85</f>
        <v>0</v>
      </c>
      <c r="F86" s="598"/>
      <c r="G86" s="708"/>
      <c r="H86" s="709"/>
      <c r="I86" s="709"/>
      <c r="J86" s="598"/>
      <c r="K86" s="598"/>
      <c r="L86" s="598"/>
      <c r="M86" s="598"/>
      <c r="N86" s="598"/>
    </row>
    <row r="87" spans="1:14" ht="15.75">
      <c r="A87" s="1" t="s">
        <v>78</v>
      </c>
      <c r="B87" s="17"/>
      <c r="C87" s="184"/>
      <c r="D87" s="1019" t="s">
        <v>115</v>
      </c>
      <c r="E87" s="20"/>
      <c r="F87" s="710"/>
      <c r="G87" s="708"/>
      <c r="H87" s="709"/>
      <c r="I87" s="709"/>
      <c r="J87" s="598"/>
      <c r="K87" s="598"/>
      <c r="L87" s="598"/>
      <c r="M87" s="598"/>
      <c r="N87" s="598"/>
    </row>
    <row r="88" spans="1:14">
      <c r="A88" s="662" t="s">
        <v>442</v>
      </c>
      <c r="B88" s="664"/>
      <c r="C88" s="1074"/>
      <c r="D88" s="541">
        <f>FIRST</f>
        <v>15350000</v>
      </c>
      <c r="E88" s="558">
        <f ca="1">D88/$D$72</f>
        <v>0.33848948094174863</v>
      </c>
      <c r="F88" s="710"/>
      <c r="G88" s="711"/>
      <c r="H88" s="709"/>
      <c r="I88" s="709"/>
      <c r="J88" s="598"/>
      <c r="K88" s="598"/>
      <c r="L88" s="598"/>
      <c r="M88" s="598"/>
      <c r="N88" s="598"/>
    </row>
    <row r="89" spans="1:14">
      <c r="A89" s="662" t="s">
        <v>459</v>
      </c>
      <c r="B89" s="664"/>
      <c r="C89" s="1074"/>
      <c r="D89" s="541">
        <f>SECOND</f>
        <v>9710000</v>
      </c>
      <c r="E89" s="558">
        <f t="shared" ref="E89:E96" ca="1" si="1">D89/$D$72</f>
        <v>0.21411940455663708</v>
      </c>
      <c r="F89" s="712"/>
      <c r="G89" s="713"/>
      <c r="H89" s="714"/>
      <c r="I89" s="709"/>
      <c r="J89" s="598"/>
      <c r="K89" s="598"/>
      <c r="L89" s="598"/>
      <c r="M89" s="598"/>
      <c r="N89" s="598"/>
    </row>
    <row r="90" spans="1:14" hidden="1">
      <c r="A90" s="662" t="s">
        <v>487</v>
      </c>
      <c r="B90" s="664"/>
      <c r="C90" s="1074"/>
      <c r="D90" s="541">
        <f>Mort!J30</f>
        <v>0</v>
      </c>
      <c r="E90" s="558">
        <f t="shared" ca="1" si="1"/>
        <v>0</v>
      </c>
      <c r="F90" s="712"/>
      <c r="G90" s="715"/>
      <c r="H90" s="716"/>
      <c r="I90" s="709"/>
      <c r="J90" s="598"/>
      <c r="K90" s="598"/>
      <c r="L90" s="598"/>
      <c r="M90" s="598"/>
      <c r="N90" s="598"/>
    </row>
    <row r="91" spans="1:14" hidden="1">
      <c r="A91" s="662" t="s">
        <v>232</v>
      </c>
      <c r="B91" s="664"/>
      <c r="C91" s="1074"/>
      <c r="D91" s="634">
        <v>0</v>
      </c>
      <c r="E91" s="558">
        <f t="shared" ca="1" si="1"/>
        <v>0</v>
      </c>
      <c r="F91" s="712"/>
      <c r="G91" s="717"/>
      <c r="H91" s="716"/>
      <c r="I91" s="709"/>
      <c r="J91" s="598"/>
      <c r="K91" s="598"/>
      <c r="L91" s="598"/>
      <c r="M91" s="598"/>
      <c r="N91" s="598"/>
    </row>
    <row r="92" spans="1:14" ht="15.75" hidden="1">
      <c r="A92" s="662" t="s">
        <v>353</v>
      </c>
      <c r="B92" s="664"/>
      <c r="C92" s="1074"/>
      <c r="D92" s="633"/>
      <c r="E92" s="558">
        <f t="shared" ca="1" si="1"/>
        <v>0</v>
      </c>
      <c r="F92" s="718"/>
      <c r="G92" s="717"/>
      <c r="H92" s="716"/>
      <c r="I92" s="709"/>
      <c r="J92" s="598"/>
      <c r="K92" s="598"/>
      <c r="L92" s="598"/>
      <c r="M92" s="598"/>
      <c r="N92" s="598"/>
    </row>
    <row r="93" spans="1:14">
      <c r="A93" s="662" t="s">
        <v>358</v>
      </c>
      <c r="B93" s="664"/>
      <c r="C93" s="1074"/>
      <c r="D93" s="541">
        <f>'Tax Credit '!H16+'Tax Credit '!H25</f>
        <v>17082344.958250001</v>
      </c>
      <c r="E93" s="558">
        <f t="shared" ca="1" si="1"/>
        <v>0.37669016795999605</v>
      </c>
      <c r="F93" s="598"/>
      <c r="G93" s="713"/>
      <c r="H93" s="716"/>
      <c r="I93" s="709"/>
      <c r="J93" s="598"/>
      <c r="K93" s="598"/>
      <c r="L93" s="598"/>
      <c r="M93" s="598"/>
      <c r="N93" s="598"/>
    </row>
    <row r="94" spans="1:14" ht="15.75">
      <c r="A94" s="662" t="s">
        <v>71</v>
      </c>
      <c r="B94" s="664"/>
      <c r="C94" s="1074"/>
      <c r="D94" s="541">
        <f ca="1">D72-D88-D89-D93</f>
        <v>3206183.9156549871</v>
      </c>
      <c r="E94" s="558">
        <f t="shared" ca="1" si="1"/>
        <v>7.0700946541618223E-2</v>
      </c>
      <c r="F94" s="718"/>
      <c r="G94" s="706"/>
      <c r="H94" s="719"/>
      <c r="I94" s="713"/>
      <c r="J94" s="1053"/>
      <c r="K94" s="728"/>
      <c r="L94" s="598"/>
      <c r="M94" s="598"/>
      <c r="N94" s="598"/>
    </row>
    <row r="95" spans="1:14" ht="15.75" hidden="1">
      <c r="A95" s="662" t="s">
        <v>453</v>
      </c>
      <c r="B95" s="664"/>
      <c r="C95" s="1074"/>
      <c r="D95" s="541">
        <v>0</v>
      </c>
      <c r="E95" s="558">
        <f t="shared" ca="1" si="1"/>
        <v>0</v>
      </c>
      <c r="F95" s="718"/>
      <c r="G95" s="713"/>
      <c r="H95" s="716"/>
      <c r="I95" s="709"/>
      <c r="J95" s="598"/>
      <c r="K95" s="598"/>
      <c r="L95" s="598"/>
      <c r="M95" s="598"/>
      <c r="N95" s="598"/>
    </row>
    <row r="96" spans="1:14" ht="15.75" hidden="1">
      <c r="A96" s="662" t="s">
        <v>370</v>
      </c>
      <c r="B96" s="664"/>
      <c r="C96" s="1074"/>
      <c r="D96" s="541">
        <v>0</v>
      </c>
      <c r="E96" s="558">
        <f t="shared" ca="1" si="1"/>
        <v>0</v>
      </c>
      <c r="F96" s="718"/>
      <c r="G96" s="713"/>
      <c r="H96" s="716"/>
      <c r="I96" s="709"/>
      <c r="J96" s="598"/>
      <c r="K96" s="598"/>
      <c r="L96" s="598"/>
      <c r="M96" s="598"/>
      <c r="N96" s="598"/>
    </row>
    <row r="97" spans="1:14" ht="15.75">
      <c r="A97" s="664" t="str">
        <f>A85</f>
        <v>Total</v>
      </c>
      <c r="B97" s="1075"/>
      <c r="C97" s="1074"/>
      <c r="D97" s="1037">
        <f ca="1">D88+D89+D90+D93+D94+D95+D96</f>
        <v>45348528.873904988</v>
      </c>
      <c r="E97" s="1076">
        <f ca="1">E88+E89+E90+E93+E94+E95+E96</f>
        <v>1</v>
      </c>
      <c r="F97" s="710"/>
      <c r="G97" s="709"/>
      <c r="H97" s="709"/>
      <c r="I97" s="720"/>
      <c r="J97" s="934"/>
      <c r="K97" s="598"/>
      <c r="L97" s="598"/>
      <c r="M97" s="598"/>
      <c r="N97" s="598"/>
    </row>
    <row r="98" spans="1:14" ht="15.75">
      <c r="A98" s="664"/>
      <c r="B98" s="1075"/>
      <c r="C98" s="1077"/>
      <c r="D98" s="1078"/>
      <c r="E98" s="558"/>
      <c r="F98" s="718"/>
      <c r="G98" s="708"/>
      <c r="H98" s="709"/>
      <c r="I98" s="720"/>
      <c r="J98" s="598"/>
      <c r="K98" s="598"/>
      <c r="L98" s="598"/>
      <c r="M98" s="598"/>
      <c r="N98" s="598"/>
    </row>
    <row r="99" spans="1:14" s="136" customFormat="1" ht="15.75" hidden="1">
      <c r="A99" s="1135" t="s">
        <v>394</v>
      </c>
      <c r="B99" s="1136"/>
      <c r="C99" s="1137"/>
      <c r="D99" s="1138">
        <f ca="1">D72-DEVFEE</f>
        <v>0</v>
      </c>
      <c r="E99" s="998"/>
      <c r="F99" s="710"/>
      <c r="G99" s="709"/>
      <c r="H99" s="709"/>
      <c r="I99" s="709"/>
      <c r="J99" s="702"/>
      <c r="K99" s="702"/>
      <c r="L99" s="702"/>
      <c r="M99" s="702"/>
      <c r="N99" s="702"/>
    </row>
    <row r="100" spans="1:14" hidden="1">
      <c r="A100" s="664"/>
      <c r="B100" s="664"/>
      <c r="C100" s="1074" t="s">
        <v>430</v>
      </c>
      <c r="D100" s="1079">
        <v>0</v>
      </c>
      <c r="E100" s="532"/>
      <c r="F100" s="710"/>
      <c r="G100" s="709"/>
      <c r="H100" s="709"/>
      <c r="I100" s="713"/>
      <c r="J100" s="598"/>
      <c r="K100" s="598"/>
      <c r="L100" s="598"/>
      <c r="M100" s="598"/>
      <c r="N100" s="598"/>
    </row>
    <row r="101" spans="1:14" hidden="1">
      <c r="A101" s="1080"/>
      <c r="B101" s="1080"/>
      <c r="C101" s="1081" t="s">
        <v>443</v>
      </c>
      <c r="D101" s="1082">
        <f ca="1">D94-D100</f>
        <v>3206183.9156549871</v>
      </c>
      <c r="E101" s="664"/>
      <c r="F101" s="1083"/>
      <c r="G101" s="709"/>
      <c r="H101" s="709"/>
      <c r="I101" s="941"/>
      <c r="J101" s="598"/>
      <c r="K101" s="598"/>
      <c r="L101" s="598"/>
      <c r="M101" s="598"/>
      <c r="N101" s="598"/>
    </row>
    <row r="102" spans="1:14">
      <c r="A102" s="1084"/>
      <c r="B102" s="1085"/>
      <c r="C102" s="1086"/>
      <c r="D102" s="1087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</row>
    <row r="103" spans="1:14" hidden="1">
      <c r="A103" s="598"/>
      <c r="B103" s="598"/>
      <c r="C103" s="943" t="s">
        <v>394</v>
      </c>
      <c r="D103" s="944">
        <f ca="1">D72-DEVFEE</f>
        <v>0</v>
      </c>
      <c r="E103" s="598"/>
      <c r="F103" s="598"/>
      <c r="G103" s="598"/>
      <c r="H103" s="598"/>
      <c r="I103" s="598"/>
      <c r="J103" s="598"/>
    </row>
    <row r="104" spans="1:14">
      <c r="A104" s="598"/>
      <c r="B104" s="598"/>
      <c r="C104" s="1086"/>
      <c r="D104" s="1087"/>
      <c r="E104" s="598"/>
      <c r="F104" s="598"/>
      <c r="G104" s="598"/>
      <c r="H104" s="598"/>
      <c r="I104" s="598"/>
      <c r="J104" s="598"/>
    </row>
    <row r="105" spans="1:14">
      <c r="A105" s="598"/>
      <c r="B105" s="598"/>
      <c r="C105" s="1086"/>
      <c r="D105" s="1087"/>
      <c r="E105" s="598"/>
      <c r="F105" s="598"/>
      <c r="G105" s="598"/>
      <c r="H105" s="598"/>
      <c r="I105" s="598"/>
      <c r="J105" s="598"/>
    </row>
    <row r="106" spans="1:14">
      <c r="A106" s="598"/>
      <c r="B106" s="598"/>
      <c r="C106" s="1086"/>
      <c r="D106" s="1087"/>
      <c r="E106" s="598"/>
      <c r="F106" s="598"/>
      <c r="G106" s="598"/>
      <c r="H106" s="598"/>
      <c r="I106" s="598"/>
      <c r="J106" s="598"/>
    </row>
    <row r="107" spans="1:14">
      <c r="A107" s="598"/>
      <c r="B107" s="598"/>
      <c r="C107" s="598"/>
      <c r="D107" s="1087"/>
      <c r="E107" s="598"/>
      <c r="F107" s="598"/>
      <c r="G107" s="598"/>
      <c r="H107" s="598"/>
      <c r="I107" s="598"/>
      <c r="J107" s="598"/>
    </row>
    <row r="108" spans="1:14">
      <c r="A108" s="598"/>
      <c r="B108" s="598"/>
      <c r="C108" s="598"/>
      <c r="D108" s="1087"/>
      <c r="E108" s="598"/>
      <c r="F108" s="598"/>
      <c r="G108" s="598"/>
      <c r="H108" s="598"/>
      <c r="I108" s="598"/>
      <c r="J108" s="598"/>
    </row>
  </sheetData>
  <customSheetViews>
    <customSheetView guid="{560D4AFA-61E5-46C3-B0CD-D0EB3053A033}" scale="70" colorId="22" showPageBreaks="1" fitToPage="1" printArea="1" hiddenRows="1" showRuler="0">
      <selection activeCell="I23" sqref="I23"/>
      <pageMargins left="0.75" right="0.5" top="0.75" bottom="0.5" header="0.5" footer="0.5"/>
      <pageSetup scale="49" orientation="portrait" r:id="rId1"/>
      <headerFooter alignWithMargins="0"/>
    </customSheetView>
    <customSheetView guid="{1ECE83C7-A3CE-4F97-BFD3-498FF783C0D9}" scale="70" colorId="22" showPageBreaks="1" fitToPage="1" printArea="1" showRuler="0" topLeftCell="A34">
      <selection activeCell="A60" sqref="A60"/>
      <pageMargins left="0.75" right="0.5" top="0.75" bottom="0.5" header="0.5" footer="0.5"/>
      <pageSetup scale="53" orientation="portrait" r:id="rId2"/>
      <headerFooter alignWithMargins="0"/>
    </customSheetView>
    <customSheetView guid="{6EF643BE-69F3-424E-8A44-3890161370D4}" scale="75" colorId="22" showPageBreaks="1" fitToPage="1" printArea="1" showRuler="0">
      <selection activeCell="E77" sqref="E77"/>
      <pageMargins left="0.5" right="0.5" top="0.5" bottom="0.5" header="0.5" footer="0.5"/>
      <pageSetup scale="67" orientation="portrait" r:id="rId3"/>
      <headerFooter alignWithMargins="0"/>
    </customSheetView>
    <customSheetView guid="{FBB4BF8E-8A9F-4E98-A6F9-5F9BF4C55C67}" scale="75" colorId="22" showPageBreaks="1" fitToPage="1" printArea="1" hiddenColumns="1" showRuler="0" topLeftCell="B49">
      <selection activeCell="F54" sqref="F54"/>
      <pageMargins left="0.5" right="0.5" top="0.5" bottom="0.5" header="0.5" footer="0.5"/>
      <pageSetup scale="64" orientation="portrait" r:id="rId4"/>
      <headerFooter alignWithMargins="0"/>
    </customSheetView>
    <customSheetView guid="{EB776EFC-3589-4DB5-BEAF-1E83D9703F9E}" scale="75" colorId="22" fitToPage="1" hiddenColumns="1" showRuler="0" topLeftCell="A52">
      <selection activeCell="F56" sqref="F56"/>
      <pageMargins left="0.5" right="0.5" top="0.5" bottom="0.5" header="0.5" footer="0.5"/>
      <pageSetup scale="63" orientation="portrait" r:id="rId5"/>
      <headerFooter alignWithMargins="0"/>
    </customSheetView>
    <customSheetView guid="{AEA5979F-5357-4ED6-A6CA-1BB80F5C7A74}" scale="75" colorId="22" showPageBreaks="1" fitToPage="1" printArea="1" showRuler="0" topLeftCell="A49">
      <selection activeCell="C83" sqref="C83"/>
      <pageMargins left="0.5" right="0.5" top="0.5" bottom="0.5" header="0.5" footer="0.5"/>
      <pageSetup scale="61" orientation="portrait" r:id="rId6"/>
      <headerFooter alignWithMargins="0"/>
    </customSheetView>
    <customSheetView guid="{28F81D13-D146-4D67-8981-BA5D7A496326}" scale="75" colorId="22" showPageBreaks="1" fitToPage="1" printArea="1" showRuler="0" topLeftCell="C1">
      <selection activeCell="G77" sqref="A1:G77"/>
      <pageMargins left="0.5" right="0.5" top="0.5" bottom="0.5" header="0.5" footer="0.5"/>
      <pageSetup scale="61" orientation="portrait" r:id="rId7"/>
      <headerFooter alignWithMargins="0"/>
    </customSheetView>
    <customSheetView guid="{25C4E7E7-1006-4A2D-BC83-AEE4ADF8A914}" scale="70" colorId="22" showPageBreaks="1" fitToPage="1" printArea="1" hiddenRows="1" showRuler="0" topLeftCell="A31">
      <selection activeCell="A42" sqref="A42"/>
      <pageMargins left="0.75" right="0.5" top="0.75" bottom="0.5" header="0.5" footer="0.5"/>
      <pageSetup scale="49" orientation="portrait" r:id="rId8"/>
      <headerFooter alignWithMargins="0"/>
    </customSheetView>
  </customSheetViews>
  <mergeCells count="1">
    <mergeCell ref="H10:I10"/>
  </mergeCells>
  <phoneticPr fontId="0" type="noConversion"/>
  <pageMargins left="0.75" right="0.5" top="0.75" bottom="0.5" header="0.5" footer="0.5"/>
  <pageSetup scale="49" firstPageNumber="207" orientation="portrait" useFirstPageNumber="1" r:id="rId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6"/>
  <sheetViews>
    <sheetView topLeftCell="A16" zoomScale="60" zoomScaleNormal="75" workbookViewId="0">
      <selection activeCell="B62" sqref="B62"/>
    </sheetView>
  </sheetViews>
  <sheetFormatPr defaultColWidth="8.88671875" defaultRowHeight="15"/>
  <cols>
    <col min="1" max="1" width="27.109375" style="43" bestFit="1" customWidth="1"/>
    <col min="2" max="2" width="15" style="43" customWidth="1"/>
    <col min="3" max="3" width="14.6640625" style="43" customWidth="1"/>
    <col min="4" max="4" width="17.5546875" style="43" customWidth="1"/>
    <col min="5" max="5" width="10.88671875" style="43" customWidth="1"/>
    <col min="6" max="6" width="19.44140625" style="43" customWidth="1"/>
    <col min="7" max="7" width="15.6640625" style="43" customWidth="1"/>
    <col min="8" max="8" width="12.88671875" style="43" customWidth="1"/>
    <col min="9" max="16384" width="8.88671875" style="43"/>
  </cols>
  <sheetData>
    <row r="1" spans="1:6" ht="15.75">
      <c r="A1" s="1" t="str">
        <f>'Devel. Bud'!A1</f>
        <v>Homeless Development Model E- permanent</v>
      </c>
      <c r="E1" s="381"/>
      <c r="F1" s="381"/>
    </row>
    <row r="2" spans="1:6" ht="15.75">
      <c r="A2" s="1" t="str">
        <f>'Devel. Bud'!A2</f>
        <v>4% LIHTC, HPD/HDC ELLA, DHS</v>
      </c>
      <c r="E2" s="381" t="str">
        <f>'Sources and Uses'!C2</f>
        <v>Units:</v>
      </c>
      <c r="F2" s="381">
        <f>'Units &amp; Income_rent'!B23</f>
        <v>100</v>
      </c>
    </row>
    <row r="3" spans="1:6" ht="15.75">
      <c r="A3" s="31"/>
      <c r="B3" s="84"/>
      <c r="C3" s="605"/>
      <c r="D3" s="84"/>
      <c r="E3" s="85"/>
    </row>
    <row r="4" spans="1:6" ht="15.75">
      <c r="A4" s="31" t="s">
        <v>189</v>
      </c>
      <c r="B4" s="84"/>
      <c r="C4" s="84"/>
      <c r="D4" s="84"/>
      <c r="E4" s="85"/>
    </row>
    <row r="5" spans="1:6" ht="15.75">
      <c r="A5" s="31"/>
      <c r="B5" s="84"/>
      <c r="C5" s="84"/>
      <c r="D5" s="84"/>
      <c r="E5" s="85"/>
    </row>
    <row r="6" spans="1:6" ht="15.75">
      <c r="A6" s="31"/>
      <c r="B6" s="84"/>
      <c r="C6" s="84"/>
      <c r="D6" s="84"/>
      <c r="E6" s="85"/>
    </row>
    <row r="7" spans="1:6" ht="15.75">
      <c r="A7" s="30" t="s">
        <v>134</v>
      </c>
      <c r="B7" s="99"/>
      <c r="C7" s="89" t="s">
        <v>133</v>
      </c>
    </row>
    <row r="8" spans="1:6">
      <c r="A8" s="89" t="s">
        <v>100</v>
      </c>
      <c r="B8" s="561">
        <f>'Devel. Bud'!D88</f>
        <v>15350000</v>
      </c>
      <c r="C8" s="92">
        <f>B8/B10</f>
        <v>0.67684359427375584</v>
      </c>
    </row>
    <row r="9" spans="1:6">
      <c r="A9" s="89" t="s">
        <v>101</v>
      </c>
      <c r="B9" s="86">
        <f>B10-B8</f>
        <v>7328799.252684582</v>
      </c>
      <c r="C9" s="92">
        <f>B9/B10</f>
        <v>0.32315640572624416</v>
      </c>
    </row>
    <row r="10" spans="1:6" ht="15.75">
      <c r="A10" s="89" t="s">
        <v>99</v>
      </c>
      <c r="B10" s="224">
        <f>'Devel. Bud'!D75</f>
        <v>22678799.252684582</v>
      </c>
      <c r="C10" s="84"/>
      <c r="F10" s="67"/>
    </row>
    <row r="11" spans="1:6" ht="15.75">
      <c r="A11" s="100"/>
      <c r="B11" s="84"/>
      <c r="C11" s="84"/>
    </row>
    <row r="12" spans="1:6" ht="15.75">
      <c r="A12" s="100"/>
      <c r="B12" s="84"/>
      <c r="C12" s="84"/>
    </row>
    <row r="13" spans="1:6" ht="15.75">
      <c r="A13" s="104" t="s">
        <v>42</v>
      </c>
      <c r="B13" s="89" t="s">
        <v>135</v>
      </c>
      <c r="C13" s="89" t="s">
        <v>136</v>
      </c>
    </row>
    <row r="14" spans="1:6">
      <c r="A14" s="89" t="s">
        <v>137</v>
      </c>
      <c r="B14" s="103">
        <v>20</v>
      </c>
      <c r="C14" s="449">
        <f>B14/12</f>
        <v>1.6666666666666667</v>
      </c>
      <c r="D14" s="84"/>
      <c r="E14" s="85"/>
    </row>
    <row r="15" spans="1:6">
      <c r="A15" s="89" t="s">
        <v>138</v>
      </c>
      <c r="B15" s="103">
        <v>8</v>
      </c>
      <c r="C15" s="449">
        <f>B15/12</f>
        <v>0.66666666666666663</v>
      </c>
      <c r="D15" s="84"/>
      <c r="E15" s="85"/>
    </row>
    <row r="16" spans="1:6">
      <c r="A16" s="89" t="s">
        <v>139</v>
      </c>
      <c r="B16" s="43">
        <f>B14+B15</f>
        <v>28</v>
      </c>
      <c r="C16" s="449">
        <f>B16/12</f>
        <v>2.3333333333333335</v>
      </c>
      <c r="D16" s="84"/>
      <c r="E16" s="85"/>
    </row>
    <row r="17" spans="1:6">
      <c r="A17" s="89"/>
      <c r="C17" s="84"/>
      <c r="D17" s="84"/>
      <c r="E17" s="85"/>
    </row>
    <row r="18" spans="1:6">
      <c r="A18" s="89"/>
      <c r="C18" s="84"/>
      <c r="D18" s="84"/>
      <c r="E18" s="85"/>
    </row>
    <row r="19" spans="1:6" ht="15.75">
      <c r="A19" s="104" t="s">
        <v>311</v>
      </c>
      <c r="C19" s="84"/>
      <c r="D19" s="84"/>
      <c r="E19" s="448"/>
      <c r="F19" s="448"/>
    </row>
    <row r="20" spans="1:6">
      <c r="A20" s="105" t="s">
        <v>221</v>
      </c>
      <c r="B20" s="1073">
        <v>5.3999999999999999E-2</v>
      </c>
      <c r="C20" s="87"/>
      <c r="D20" s="447"/>
      <c r="E20" s="85"/>
    </row>
    <row r="21" spans="1:6">
      <c r="A21" s="105" t="s">
        <v>222</v>
      </c>
      <c r="B21" s="1073">
        <v>2.2499999999999999E-2</v>
      </c>
      <c r="C21" s="88"/>
      <c r="D21" s="89"/>
      <c r="E21" s="85"/>
    </row>
    <row r="22" spans="1:6">
      <c r="A22" s="105" t="s">
        <v>277</v>
      </c>
      <c r="B22" s="102">
        <v>4.8000000000000001E-2</v>
      </c>
      <c r="C22" s="324"/>
      <c r="D22" s="84"/>
      <c r="E22" s="85"/>
    </row>
    <row r="23" spans="1:6">
      <c r="A23" s="105" t="s">
        <v>278</v>
      </c>
      <c r="B23" s="102">
        <v>1.2500000000000001E-2</v>
      </c>
      <c r="C23" s="324"/>
      <c r="D23" s="84"/>
      <c r="E23" s="85"/>
    </row>
    <row r="24" spans="1:6">
      <c r="A24" s="105" t="s">
        <v>279</v>
      </c>
      <c r="B24" s="102"/>
      <c r="C24" s="324"/>
      <c r="D24" s="84"/>
      <c r="E24" s="85"/>
    </row>
    <row r="25" spans="1:6">
      <c r="A25" s="84"/>
      <c r="B25" s="85"/>
      <c r="C25" s="324"/>
      <c r="D25" s="84"/>
      <c r="E25" s="85"/>
    </row>
    <row r="26" spans="1:6" ht="15.75">
      <c r="A26" s="147" t="s">
        <v>140</v>
      </c>
      <c r="B26" s="148"/>
      <c r="C26" s="149"/>
      <c r="D26" s="150"/>
      <c r="E26" s="148"/>
    </row>
    <row r="27" spans="1:6">
      <c r="A27" s="151" t="s">
        <v>312</v>
      </c>
      <c r="B27" s="152">
        <v>0</v>
      </c>
      <c r="C27" s="150"/>
      <c r="D27" s="150"/>
      <c r="E27" s="148"/>
    </row>
    <row r="28" spans="1:6">
      <c r="A28" s="153" t="s">
        <v>310</v>
      </c>
      <c r="B28" s="152">
        <v>0</v>
      </c>
      <c r="C28" s="150"/>
      <c r="D28" s="150"/>
      <c r="E28" s="148"/>
    </row>
    <row r="29" spans="1:6">
      <c r="A29" s="151" t="s">
        <v>140</v>
      </c>
      <c r="B29" s="154">
        <f>SUM(B27:B28)</f>
        <v>0</v>
      </c>
      <c r="C29" s="150"/>
      <c r="D29" s="150"/>
      <c r="E29" s="148"/>
    </row>
    <row r="30" spans="1:6">
      <c r="A30" s="151"/>
      <c r="B30" s="149"/>
      <c r="C30" s="150"/>
      <c r="D30" s="150"/>
      <c r="E30" s="148"/>
    </row>
    <row r="31" spans="1:6">
      <c r="A31" s="89"/>
      <c r="C31" s="84"/>
      <c r="D31" s="84"/>
      <c r="E31" s="85"/>
    </row>
    <row r="32" spans="1:6" ht="15.75">
      <c r="A32" s="104" t="s">
        <v>149</v>
      </c>
      <c r="C32" s="84"/>
      <c r="D32" s="84"/>
      <c r="E32" s="85"/>
    </row>
    <row r="33" spans="1:8" ht="15.75">
      <c r="A33" s="104"/>
      <c r="C33" s="84"/>
      <c r="D33" s="84"/>
      <c r="E33" s="85"/>
    </row>
    <row r="34" spans="1:8" ht="15.75">
      <c r="A34" s="100" t="s">
        <v>143</v>
      </c>
      <c r="B34" s="106" t="s">
        <v>141</v>
      </c>
      <c r="C34" s="106" t="s">
        <v>68</v>
      </c>
      <c r="D34" s="107" t="s">
        <v>144</v>
      </c>
      <c r="E34" s="107" t="s">
        <v>142</v>
      </c>
      <c r="F34" s="109" t="s">
        <v>145</v>
      </c>
    </row>
    <row r="35" spans="1:8">
      <c r="A35" s="89" t="s">
        <v>280</v>
      </c>
      <c r="B35" s="44">
        <f>B9</f>
        <v>7328799.252684582</v>
      </c>
      <c r="C35" s="108">
        <v>0.65</v>
      </c>
      <c r="D35" s="556">
        <f>C14</f>
        <v>1.6666666666666667</v>
      </c>
      <c r="E35" s="600">
        <f>B21</f>
        <v>2.2499999999999999E-2</v>
      </c>
      <c r="F35" s="67">
        <f t="shared" ref="F35:F41" si="0">B35*C35*D35*E35</f>
        <v>178639.48178418668</v>
      </c>
      <c r="H35" s="697">
        <f>AVERAGE(E35,E36,E39,E40)</f>
        <v>2.6374999999999999E-2</v>
      </c>
    </row>
    <row r="36" spans="1:8">
      <c r="A36" s="89"/>
      <c r="B36" s="44">
        <f>B9</f>
        <v>7328799.252684582</v>
      </c>
      <c r="C36" s="108">
        <v>1</v>
      </c>
      <c r="D36" s="556">
        <f>C15</f>
        <v>0.66666666666666663</v>
      </c>
      <c r="E36" s="600">
        <f>B21</f>
        <v>2.2499999999999999E-2</v>
      </c>
      <c r="F36" s="67">
        <f t="shared" si="0"/>
        <v>109931.98879026872</v>
      </c>
      <c r="H36" s="698">
        <f ca="1">B35+B39+B40</f>
        <v>25073504.502518602</v>
      </c>
    </row>
    <row r="37" spans="1:8">
      <c r="A37" s="89" t="s">
        <v>281</v>
      </c>
      <c r="B37" s="44">
        <f>B8</f>
        <v>15350000</v>
      </c>
      <c r="C37" s="108">
        <v>0.65</v>
      </c>
      <c r="D37" s="556">
        <f>C14</f>
        <v>1.6666666666666667</v>
      </c>
      <c r="E37" s="600">
        <f>B20</f>
        <v>5.3999999999999999E-2</v>
      </c>
      <c r="F37" s="67">
        <f t="shared" si="0"/>
        <v>897975</v>
      </c>
      <c r="H37" s="699">
        <f ca="1">H36*H35</f>
        <v>661313.68125392811</v>
      </c>
    </row>
    <row r="38" spans="1:8">
      <c r="A38" s="89"/>
      <c r="B38" s="44">
        <f>B8</f>
        <v>15350000</v>
      </c>
      <c r="C38" s="108">
        <v>1</v>
      </c>
      <c r="D38" s="556">
        <f>C15</f>
        <v>0.66666666666666663</v>
      </c>
      <c r="E38" s="600">
        <f>B20</f>
        <v>5.3999999999999999E-2</v>
      </c>
      <c r="F38" s="67">
        <f t="shared" si="0"/>
        <v>552599.99999999988</v>
      </c>
      <c r="G38" s="67"/>
      <c r="H38" s="700"/>
    </row>
    <row r="39" spans="1:8">
      <c r="A39" s="89" t="str">
        <f>A22</f>
        <v>2nd Construction</v>
      </c>
      <c r="B39" s="44">
        <f ca="1">'Devel. Bud'!D76</f>
        <v>8034705.2498340188</v>
      </c>
      <c r="C39" s="108">
        <v>1</v>
      </c>
      <c r="D39" s="557">
        <f>C16</f>
        <v>2.3333333333333335</v>
      </c>
      <c r="E39" s="600">
        <f>B22</f>
        <v>4.8000000000000001E-2</v>
      </c>
      <c r="F39" s="67">
        <f t="shared" ca="1" si="0"/>
        <v>899886.98798141012</v>
      </c>
      <c r="H39" s="700">
        <f>H35*C16</f>
        <v>6.1541666666666668E-2</v>
      </c>
    </row>
    <row r="40" spans="1:8">
      <c r="A40" s="692" t="str">
        <f>A23</f>
        <v>3rd Construction</v>
      </c>
      <c r="B40" s="44">
        <f>'Devel. Bud'!D77</f>
        <v>9710000</v>
      </c>
      <c r="C40" s="108">
        <v>1</v>
      </c>
      <c r="D40" s="557">
        <f>C16</f>
        <v>2.3333333333333335</v>
      </c>
      <c r="E40" s="87">
        <f>B23</f>
        <v>1.2500000000000001E-2</v>
      </c>
      <c r="F40" s="67">
        <f t="shared" si="0"/>
        <v>283208.33333333337</v>
      </c>
      <c r="G40" s="67"/>
      <c r="H40" s="700"/>
    </row>
    <row r="41" spans="1:8">
      <c r="A41" s="89" t="str">
        <f>A24</f>
        <v>4th Construction</v>
      </c>
      <c r="B41" s="44">
        <f>'Devel. Bud'!D78</f>
        <v>0</v>
      </c>
      <c r="C41" s="108">
        <v>1</v>
      </c>
      <c r="D41" s="487">
        <f>B24</f>
        <v>0</v>
      </c>
      <c r="E41" s="87">
        <f>B24</f>
        <v>0</v>
      </c>
      <c r="F41" s="67">
        <f t="shared" si="0"/>
        <v>0</v>
      </c>
      <c r="H41" s="700"/>
    </row>
    <row r="42" spans="1:8" ht="15.75">
      <c r="C42" s="84"/>
      <c r="D42" s="84"/>
      <c r="E42" s="100" t="s">
        <v>146</v>
      </c>
      <c r="F42" s="110">
        <f ca="1">SUM(F35:F40)</f>
        <v>2922241.7918891991</v>
      </c>
      <c r="H42" s="701">
        <f ca="1">F42/H36</f>
        <v>0.11654700249802191</v>
      </c>
    </row>
    <row r="43" spans="1:8" ht="15.75">
      <c r="A43" s="104"/>
      <c r="C43" s="84"/>
      <c r="D43" s="84"/>
      <c r="E43" s="85"/>
      <c r="F43" s="67"/>
    </row>
    <row r="44" spans="1:8" ht="15.75">
      <c r="A44" s="104"/>
      <c r="C44" s="84"/>
      <c r="D44" s="84"/>
      <c r="E44" s="85"/>
    </row>
    <row r="45" spans="1:8" ht="15.75">
      <c r="A45" s="100" t="s">
        <v>140</v>
      </c>
      <c r="B45" s="106" t="s">
        <v>141</v>
      </c>
      <c r="C45" s="106" t="s">
        <v>68</v>
      </c>
      <c r="D45" s="107" t="s">
        <v>144</v>
      </c>
      <c r="E45" s="107" t="s">
        <v>142</v>
      </c>
      <c r="F45" s="109" t="s">
        <v>145</v>
      </c>
    </row>
    <row r="46" spans="1:8">
      <c r="A46" s="89" t="s">
        <v>147</v>
      </c>
      <c r="B46" s="44">
        <f>B10</f>
        <v>22678799.252684582</v>
      </c>
      <c r="C46" s="108">
        <v>0.5</v>
      </c>
      <c r="D46" s="470">
        <f>C14</f>
        <v>1.6666666666666667</v>
      </c>
      <c r="E46" s="87">
        <f>B29</f>
        <v>0</v>
      </c>
      <c r="F46" s="67">
        <f>B46*C46*D46*E46</f>
        <v>0</v>
      </c>
    </row>
    <row r="47" spans="1:8">
      <c r="A47" s="89"/>
      <c r="B47" s="44">
        <f>B10</f>
        <v>22678799.252684582</v>
      </c>
      <c r="C47" s="108">
        <v>1</v>
      </c>
      <c r="D47" s="470">
        <f>C15</f>
        <v>0.66666666666666663</v>
      </c>
      <c r="E47" s="87">
        <f>B29</f>
        <v>0</v>
      </c>
      <c r="F47" s="67">
        <f>B47*C47*D47*E47</f>
        <v>0</v>
      </c>
    </row>
    <row r="48" spans="1:8">
      <c r="A48" s="89" t="s">
        <v>54</v>
      </c>
      <c r="B48" s="44">
        <f ca="1">'Devel. Bud'!D76</f>
        <v>8034705.2498340188</v>
      </c>
      <c r="C48" s="108">
        <v>1</v>
      </c>
      <c r="D48" s="470">
        <f>C16</f>
        <v>2.3333333333333335</v>
      </c>
      <c r="E48" s="87">
        <f>B30</f>
        <v>0</v>
      </c>
      <c r="F48" s="67">
        <f ca="1">B48*C48*D48*E48</f>
        <v>0</v>
      </c>
    </row>
    <row r="49" spans="1:8">
      <c r="A49" s="89" t="s">
        <v>363</v>
      </c>
      <c r="B49" s="44">
        <f>'Devel. Bud'!D77</f>
        <v>9710000</v>
      </c>
      <c r="C49" s="108">
        <v>1</v>
      </c>
      <c r="D49" s="470">
        <f>C16</f>
        <v>2.3333333333333335</v>
      </c>
      <c r="E49" s="87">
        <f>B31</f>
        <v>0</v>
      </c>
      <c r="F49" s="67">
        <f>B49*C49*D49*E49</f>
        <v>0</v>
      </c>
    </row>
    <row r="50" spans="1:8" ht="15.75">
      <c r="C50" s="84"/>
      <c r="D50" s="84"/>
      <c r="E50" s="100" t="s">
        <v>148</v>
      </c>
      <c r="F50" s="110">
        <f ca="1">SUM(F46:F49)</f>
        <v>0</v>
      </c>
    </row>
    <row r="51" spans="1:8">
      <c r="A51" s="84"/>
      <c r="B51" s="84"/>
      <c r="C51" s="84"/>
      <c r="D51" s="84"/>
      <c r="E51" s="85"/>
    </row>
    <row r="52" spans="1:8">
      <c r="A52" s="70"/>
      <c r="B52" s="70"/>
      <c r="C52" s="70"/>
      <c r="D52" s="70"/>
      <c r="E52" s="98"/>
      <c r="F52" s="70"/>
      <c r="G52" s="84"/>
      <c r="H52" s="84"/>
    </row>
    <row r="53" spans="1:8" ht="15.75">
      <c r="A53" s="30" t="s">
        <v>129</v>
      </c>
    </row>
    <row r="54" spans="1:8" s="30" customFormat="1" ht="15.75">
      <c r="A54" s="45" t="s">
        <v>153</v>
      </c>
      <c r="B54" s="42"/>
    </row>
    <row r="55" spans="1:8" s="30" customFormat="1" ht="15.75">
      <c r="B55" s="42"/>
    </row>
    <row r="56" spans="1:8" s="30" customFormat="1" ht="15.75">
      <c r="A56" s="105" t="s">
        <v>152</v>
      </c>
      <c r="B56" s="111">
        <v>3.0000000000000001E-3</v>
      </c>
    </row>
    <row r="57" spans="1:8" s="30" customFormat="1" ht="15.75">
      <c r="B57" s="42"/>
    </row>
    <row r="58" spans="1:8" s="30" customFormat="1" ht="15.75">
      <c r="B58" s="42"/>
    </row>
    <row r="59" spans="1:8" ht="17.25" customHeight="1">
      <c r="B59" s="112" t="s">
        <v>194</v>
      </c>
      <c r="C59" s="112" t="s">
        <v>193</v>
      </c>
    </row>
    <row r="60" spans="1:8">
      <c r="A60" s="99" t="s">
        <v>150</v>
      </c>
      <c r="B60" s="203">
        <f>B21</f>
        <v>2.2499999999999999E-2</v>
      </c>
      <c r="C60" s="72">
        <f>B20</f>
        <v>5.3999999999999999E-2</v>
      </c>
    </row>
    <row r="61" spans="1:8">
      <c r="A61" s="89" t="s">
        <v>101</v>
      </c>
      <c r="B61" s="44">
        <f>B9</f>
        <v>7328799.252684582</v>
      </c>
      <c r="C61" s="166">
        <f>B8</f>
        <v>15350000</v>
      </c>
    </row>
    <row r="62" spans="1:8">
      <c r="A62" s="99" t="s">
        <v>68</v>
      </c>
      <c r="B62" s="1023">
        <f>1-C35</f>
        <v>0.35</v>
      </c>
      <c r="C62" s="71">
        <f>1-C37</f>
        <v>0.35</v>
      </c>
    </row>
    <row r="63" spans="1:8">
      <c r="A63" s="99" t="s">
        <v>102</v>
      </c>
      <c r="B63" s="93">
        <f>B60-B56</f>
        <v>1.95E-2</v>
      </c>
      <c r="C63" s="93">
        <f>C60-B56</f>
        <v>5.0999999999999997E-2</v>
      </c>
    </row>
    <row r="64" spans="1:8">
      <c r="A64" s="99" t="s">
        <v>151</v>
      </c>
      <c r="B64" s="43">
        <v>1.5</v>
      </c>
      <c r="C64" s="43">
        <v>1.5</v>
      </c>
    </row>
    <row r="65" spans="1:4">
      <c r="A65" s="99"/>
      <c r="B65" s="67">
        <f>B61*B62*B63*B64</f>
        <v>75028.582349358403</v>
      </c>
      <c r="C65" s="67">
        <f>C61*C62*C63*C64</f>
        <v>410996.25</v>
      </c>
      <c r="D65" s="67"/>
    </row>
    <row r="66" spans="1:4">
      <c r="A66" s="99"/>
    </row>
    <row r="67" spans="1:4" ht="15.75">
      <c r="A67" s="100" t="s">
        <v>53</v>
      </c>
      <c r="B67" s="225">
        <f>B65+C65</f>
        <v>486024.83234935842</v>
      </c>
    </row>
    <row r="68" spans="1:4" ht="15.75">
      <c r="A68" s="31"/>
      <c r="B68" s="84"/>
    </row>
    <row r="69" spans="1:4" ht="15.75">
      <c r="A69" s="31"/>
      <c r="B69" s="84"/>
    </row>
    <row r="70" spans="1:4" ht="15.75">
      <c r="A70" s="30" t="s">
        <v>190</v>
      </c>
      <c r="B70" s="12"/>
      <c r="D70" s="450"/>
    </row>
    <row r="71" spans="1:4">
      <c r="A71" s="84"/>
      <c r="B71" s="84"/>
    </row>
    <row r="72" spans="1:4">
      <c r="A72" s="84" t="s">
        <v>134</v>
      </c>
      <c r="B72" s="84"/>
      <c r="C72" s="479">
        <f>B10</f>
        <v>22678799.252684582</v>
      </c>
    </row>
    <row r="73" spans="1:4">
      <c r="A73" s="84" t="s">
        <v>191</v>
      </c>
      <c r="B73" s="103">
        <v>60</v>
      </c>
      <c r="C73" s="183">
        <f>C72*B20*(B73/360)</f>
        <v>204109.19327416123</v>
      </c>
    </row>
    <row r="74" spans="1:4" ht="15.75">
      <c r="A74" s="188" t="s">
        <v>192</v>
      </c>
      <c r="B74" s="86"/>
      <c r="C74" s="223">
        <f>C72+C73</f>
        <v>22882908.445958745</v>
      </c>
    </row>
    <row r="75" spans="1:4">
      <c r="A75" s="84"/>
      <c r="B75" s="90"/>
    </row>
    <row r="76" spans="1:4">
      <c r="A76" s="84"/>
      <c r="B76" s="91"/>
    </row>
    <row r="77" spans="1:4">
      <c r="A77" s="84"/>
      <c r="B77" s="84"/>
    </row>
    <row r="78" spans="1:4">
      <c r="A78" s="84"/>
      <c r="B78" s="84"/>
    </row>
    <row r="79" spans="1:4">
      <c r="A79" s="84"/>
      <c r="B79" s="94"/>
    </row>
    <row r="80" spans="1:4">
      <c r="A80" s="84"/>
      <c r="B80" s="94"/>
    </row>
    <row r="81" spans="1:2">
      <c r="A81" s="84"/>
      <c r="B81" s="94"/>
    </row>
    <row r="86" spans="1:2">
      <c r="A86" s="84"/>
      <c r="B86" s="44"/>
    </row>
    <row r="87" spans="1:2">
      <c r="A87" s="84"/>
      <c r="B87" s="71"/>
    </row>
    <row r="88" spans="1:2">
      <c r="A88" s="84"/>
      <c r="B88" s="95"/>
    </row>
    <row r="89" spans="1:2">
      <c r="A89" s="84"/>
    </row>
    <row r="91" spans="1:2">
      <c r="B91" s="96"/>
    </row>
    <row r="93" spans="1:2">
      <c r="B93" s="97"/>
    </row>
    <row r="96" spans="1:2" ht="15.75">
      <c r="A96" s="30"/>
      <c r="B96" s="33"/>
    </row>
  </sheetData>
  <dataConsolidate/>
  <customSheetViews>
    <customSheetView guid="{560D4AFA-61E5-46C3-B0CD-D0EB3053A033}" scale="75" showPageBreaks="1" fitToPage="1" printArea="1" hiddenRows="1" showRuler="0">
      <selection activeCell="C18" sqref="C18"/>
      <pageMargins left="0.75" right="0.5" top="0.75" bottom="0.5" header="0.5" footer="0.5"/>
      <pageSetup scale="77" orientation="portrait" r:id="rId1"/>
      <headerFooter alignWithMargins="0"/>
    </customSheetView>
    <customSheetView guid="{1ECE83C7-A3CE-4F97-BFD3-498FF783C0D9}" scale="75" showPageBreaks="1" fitToPage="1" printArea="1" showRuler="0" topLeftCell="A28">
      <selection activeCell="H29" sqref="H29"/>
      <pageMargins left="0.75" right="0.5" top="0.75" bottom="0.5" header="0.5" footer="0.5"/>
      <pageSetup scale="66" orientation="portrait" r:id="rId2"/>
      <headerFooter alignWithMargins="0"/>
    </customSheetView>
    <customSheetView guid="{6EF643BE-69F3-424E-8A44-3890161370D4}" scale="60" showPageBreaks="1" fitToPage="1" printArea="1" hiddenRows="1" view="pageBreakPreview" showRuler="0" topLeftCell="A13">
      <selection activeCell="E40" sqref="E40"/>
      <pageMargins left="0.75" right="0.75" top="1" bottom="1" header="0.5" footer="0.5"/>
      <pageSetup scale="60" orientation="portrait" r:id="rId3"/>
      <headerFooter alignWithMargins="0"/>
    </customSheetView>
    <customSheetView guid="{FBB4BF8E-8A9F-4E98-A6F9-5F9BF4C55C67}" scale="75" showPageBreaks="1" fitToPage="1" hiddenRows="1" hiddenColumns="1" showRuler="0" topLeftCell="A14">
      <selection activeCell="B42" sqref="B42"/>
      <pageMargins left="0.75" right="0.75" top="1" bottom="1" header="0.5" footer="0.5"/>
      <pageSetup scale="70" orientation="portrait" r:id="rId4"/>
      <headerFooter alignWithMargins="0"/>
    </customSheetView>
    <customSheetView guid="{EB776EFC-3589-4DB5-BEAF-1E83D9703F9E}" scale="75" fitToPage="1" hiddenRows="1" hiddenColumns="1" showRuler="0" topLeftCell="A17">
      <selection activeCell="J41" sqref="J41"/>
      <pageMargins left="0.75" right="0.75" top="1" bottom="1" header="0.5" footer="0.5"/>
      <pageSetup scale="93" orientation="portrait" r:id="rId5"/>
      <headerFooter alignWithMargins="0"/>
    </customSheetView>
    <customSheetView guid="{AEA5979F-5357-4ED6-A6CA-1BB80F5C7A74}" scale="60" showPageBreaks="1" fitToPage="1" printArea="1" hiddenRows="1" view="pageBreakPreview" showRuler="0">
      <selection activeCell="B25" sqref="B25"/>
      <pageMargins left="0.75" right="0.75" top="1" bottom="1" header="0.5" footer="0.5"/>
      <pageSetup scale="62" orientation="portrait" r:id="rId6"/>
      <headerFooter alignWithMargins="0"/>
    </customSheetView>
    <customSheetView guid="{28F81D13-D146-4D67-8981-BA5D7A496326}" scale="60" showPageBreaks="1" fitToPage="1" printArea="1" hiddenRows="1" view="pageBreakPreview" showRuler="0" topLeftCell="A4">
      <selection activeCell="E41" sqref="E41"/>
      <pageMargins left="0.75" right="0.75" top="1" bottom="1" header="0.5" footer="0.5"/>
      <pageSetup scale="60" orientation="portrait" r:id="rId7"/>
      <headerFooter alignWithMargins="0"/>
    </customSheetView>
    <customSheetView guid="{25C4E7E7-1006-4A2D-BC83-AEE4ADF8A914}" scale="75" showPageBreaks="1" fitToPage="1" printArea="1" hiddenRows="1" showRuler="0" topLeftCell="A7">
      <selection activeCell="C18" sqref="C18"/>
      <pageMargins left="0.75" right="0.5" top="0.75" bottom="0.5" header="0.5" footer="0.5"/>
      <pageSetup scale="77" orientation="portrait" r:id="rId8"/>
      <headerFooter alignWithMargins="0"/>
    </customSheetView>
  </customSheetViews>
  <phoneticPr fontId="0" type="noConversion"/>
  <pageMargins left="0.75" right="0.5" top="0.75" bottom="0.5" header="0.5" footer="0.5"/>
  <pageSetup scale="59" firstPageNumber="208" orientation="portrait" useFirstPageNumber="1" r:id="rId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14"/>
  <sheetViews>
    <sheetView defaultGridColor="0" topLeftCell="A44" colorId="22" zoomScale="75" zoomScaleNormal="75" workbookViewId="0">
      <selection activeCell="C41" sqref="C41"/>
    </sheetView>
  </sheetViews>
  <sheetFormatPr defaultColWidth="9.77734375" defaultRowHeight="15"/>
  <cols>
    <col min="1" max="1" width="17.33203125" style="84" customWidth="1"/>
    <col min="2" max="2" width="13" style="84" customWidth="1"/>
    <col min="3" max="3" width="14.88671875" style="84" customWidth="1"/>
    <col min="4" max="4" width="13.109375" style="84" customWidth="1"/>
    <col min="5" max="8" width="11.77734375" style="84" customWidth="1"/>
    <col min="9" max="9" width="13.109375" style="84" customWidth="1"/>
    <col min="10" max="10" width="10.33203125" style="84" bestFit="1" customWidth="1"/>
    <col min="11" max="11" width="11.33203125" style="84" bestFit="1" customWidth="1"/>
    <col min="12" max="12" width="11.21875" style="84" customWidth="1"/>
    <col min="13" max="13" width="9.77734375" style="84"/>
    <col min="14" max="14" width="10.33203125" style="84" bestFit="1" customWidth="1"/>
    <col min="15" max="16384" width="9.77734375" style="84"/>
  </cols>
  <sheetData>
    <row r="1" spans="1:15" ht="15.75">
      <c r="A1" s="180" t="str">
        <f>'Sources and Uses'!A1</f>
        <v>Homeless Development Model E- permanent</v>
      </c>
      <c r="B1" s="155"/>
      <c r="C1" s="188"/>
      <c r="D1" s="188"/>
      <c r="E1" s="188"/>
      <c r="H1" s="180"/>
      <c r="I1" s="180"/>
      <c r="J1" s="188"/>
      <c r="K1" s="188"/>
      <c r="L1" s="188"/>
      <c r="M1" s="188"/>
      <c r="N1" s="188"/>
    </row>
    <row r="2" spans="1:15" ht="15.75">
      <c r="A2" s="180" t="str">
        <f>'Sources and Uses'!A2</f>
        <v>4% LIHTC, HPD/HDC ELLA, DHS</v>
      </c>
      <c r="B2" s="155"/>
      <c r="C2" s="188"/>
      <c r="D2" s="188"/>
      <c r="E2" s="605"/>
      <c r="F2" s="593"/>
      <c r="H2" s="180" t="str">
        <f>'Sources and Uses'!C2</f>
        <v>Units:</v>
      </c>
      <c r="I2" s="457">
        <f>B23</f>
        <v>100</v>
      </c>
      <c r="J2" s="188"/>
      <c r="K2" s="188"/>
      <c r="L2" s="188"/>
      <c r="M2" s="188"/>
      <c r="N2" s="188"/>
    </row>
    <row r="3" spans="1:15" ht="15.75" thickBot="1">
      <c r="A3" s="231"/>
      <c r="B3" s="231"/>
      <c r="C3" s="231"/>
      <c r="D3" s="231"/>
      <c r="E3" s="231"/>
      <c r="F3" s="231"/>
      <c r="G3" s="231"/>
      <c r="H3" s="231"/>
      <c r="I3" s="231"/>
      <c r="J3" s="188"/>
      <c r="K3" s="188"/>
      <c r="L3" s="188"/>
      <c r="M3" s="188"/>
      <c r="N3" s="188"/>
    </row>
    <row r="4" spans="1:15" ht="18.75" customHeight="1" thickTop="1">
      <c r="A4" s="243" t="s">
        <v>128</v>
      </c>
      <c r="B4" s="173" t="s">
        <v>343</v>
      </c>
      <c r="C4" s="188"/>
      <c r="D4" s="488" t="s">
        <v>340</v>
      </c>
      <c r="E4" s="488" t="s">
        <v>341</v>
      </c>
      <c r="F4" s="489"/>
      <c r="G4" s="155"/>
      <c r="H4" s="188"/>
      <c r="I4" s="241"/>
      <c r="J4" s="188"/>
      <c r="K4" s="188"/>
      <c r="L4" s="188"/>
      <c r="M4" s="188"/>
      <c r="N4" s="188"/>
    </row>
    <row r="5" spans="1:15" ht="15.75">
      <c r="A5" s="247">
        <f>B5/$B$9</f>
        <v>1</v>
      </c>
      <c r="B5" s="534">
        <f>'Devel. Bud'!I2-'Devel. Bud'!K2</f>
        <v>100000</v>
      </c>
      <c r="C5" s="655" t="s">
        <v>336</v>
      </c>
      <c r="D5" s="656">
        <v>0.88</v>
      </c>
      <c r="E5" s="657">
        <f>E23</f>
        <v>77900</v>
      </c>
      <c r="F5" s="935"/>
      <c r="G5" s="155"/>
      <c r="H5" s="188"/>
      <c r="I5" s="237"/>
      <c r="J5" s="188"/>
      <c r="K5" s="188"/>
      <c r="L5" s="188"/>
      <c r="M5" s="188"/>
      <c r="N5" s="188"/>
    </row>
    <row r="6" spans="1:15" s="967" customFormat="1">
      <c r="A6" s="1362">
        <f>B6/$B$9</f>
        <v>0</v>
      </c>
      <c r="B6" s="658">
        <v>0</v>
      </c>
      <c r="C6" s="659" t="s">
        <v>337</v>
      </c>
      <c r="D6" s="660">
        <v>0</v>
      </c>
      <c r="E6" s="661">
        <f>D6*B6</f>
        <v>0</v>
      </c>
      <c r="F6" s="1363"/>
      <c r="G6" s="1368"/>
      <c r="H6" s="966"/>
      <c r="I6" s="1365"/>
      <c r="J6" s="966"/>
      <c r="K6" s="966"/>
      <c r="L6" s="966"/>
      <c r="M6" s="966"/>
      <c r="N6" s="966"/>
    </row>
    <row r="7" spans="1:15" s="967" customFormat="1">
      <c r="A7" s="1362">
        <f>B7/$B$9</f>
        <v>0</v>
      </c>
      <c r="B7" s="658">
        <f>B35</f>
        <v>0</v>
      </c>
      <c r="C7" s="659" t="s">
        <v>338</v>
      </c>
      <c r="D7" s="660">
        <v>1</v>
      </c>
      <c r="E7" s="661">
        <f>D7*B7</f>
        <v>0</v>
      </c>
      <c r="F7" s="1363"/>
      <c r="G7" s="1368"/>
      <c r="H7" s="966"/>
      <c r="I7" s="1365"/>
      <c r="J7" s="966"/>
      <c r="K7" s="966"/>
      <c r="L7" s="966"/>
      <c r="M7" s="966"/>
      <c r="N7" s="966"/>
    </row>
    <row r="8" spans="1:15" s="967" customFormat="1">
      <c r="A8" s="1362">
        <f>B8/$B$9</f>
        <v>0</v>
      </c>
      <c r="B8" s="658">
        <v>0</v>
      </c>
      <c r="C8" s="659" t="s">
        <v>339</v>
      </c>
      <c r="D8" s="660">
        <v>0</v>
      </c>
      <c r="E8" s="661">
        <f>D8*B8</f>
        <v>0</v>
      </c>
      <c r="F8" s="659"/>
      <c r="G8" s="1368"/>
      <c r="H8" s="966"/>
      <c r="I8" s="1365"/>
      <c r="J8" s="966"/>
      <c r="K8" s="966"/>
      <c r="L8" s="966"/>
      <c r="M8" s="966"/>
      <c r="N8" s="966"/>
    </row>
    <row r="9" spans="1:15" ht="15.75">
      <c r="A9" s="248"/>
      <c r="B9" s="509">
        <f>B5</f>
        <v>100000</v>
      </c>
      <c r="C9" s="192" t="s">
        <v>344</v>
      </c>
      <c r="D9" s="491"/>
      <c r="E9" s="491">
        <f>SUM(E5:E8)</f>
        <v>77900</v>
      </c>
      <c r="F9" s="492" t="s">
        <v>342</v>
      </c>
      <c r="G9" s="155"/>
      <c r="H9" s="188"/>
      <c r="I9" s="237"/>
      <c r="J9" s="188"/>
      <c r="K9" s="188"/>
      <c r="L9" s="188"/>
      <c r="M9" s="188"/>
      <c r="N9" s="188"/>
    </row>
    <row r="10" spans="1:15" ht="15.75">
      <c r="A10" s="240"/>
      <c r="B10" s="173"/>
      <c r="D10" s="190"/>
      <c r="E10" s="337"/>
      <c r="F10" s="192"/>
      <c r="G10" s="155"/>
      <c r="H10" s="188"/>
      <c r="I10" s="237"/>
      <c r="J10" s="188"/>
      <c r="K10" s="188"/>
      <c r="L10" s="188"/>
      <c r="M10" s="188"/>
      <c r="N10" s="188"/>
    </row>
    <row r="11" spans="1:15" ht="15.75">
      <c r="A11" s="249"/>
      <c r="B11" s="250"/>
      <c r="C11" s="251"/>
      <c r="D11" s="252"/>
      <c r="E11" s="252"/>
      <c r="F11" s="338"/>
      <c r="G11" s="339"/>
      <c r="H11" s="242"/>
      <c r="I11" s="238"/>
      <c r="J11" s="188"/>
      <c r="K11" s="188"/>
      <c r="L11" s="188"/>
      <c r="M11" s="188"/>
      <c r="N11" s="188"/>
    </row>
    <row r="12" spans="1:15" ht="16.5" thickBot="1">
      <c r="A12" s="232"/>
      <c r="B12" s="233"/>
      <c r="C12" s="234"/>
      <c r="D12" s="235"/>
      <c r="E12" s="236"/>
      <c r="F12" s="214"/>
      <c r="G12" s="214"/>
      <c r="H12" s="231"/>
      <c r="I12" s="231"/>
      <c r="J12" s="188"/>
      <c r="K12" s="188"/>
      <c r="L12" s="188"/>
      <c r="M12" s="188"/>
      <c r="N12" s="188"/>
    </row>
    <row r="13" spans="1:15" ht="16.5" thickTop="1">
      <c r="A13" s="243" t="s">
        <v>120</v>
      </c>
      <c r="B13" s="173"/>
      <c r="C13" s="191"/>
      <c r="D13" s="190"/>
      <c r="E13" s="335"/>
      <c r="F13" s="188"/>
      <c r="G13" s="155"/>
      <c r="H13" s="188"/>
      <c r="I13" s="241"/>
      <c r="J13" s="188"/>
      <c r="K13" s="188"/>
      <c r="L13" s="188"/>
      <c r="M13" s="188"/>
      <c r="N13" s="188"/>
    </row>
    <row r="14" spans="1:15" ht="15" customHeight="1">
      <c r="A14" s="244"/>
      <c r="B14" s="173"/>
      <c r="C14" s="173"/>
      <c r="D14" s="173"/>
      <c r="E14" s="190" t="s">
        <v>381</v>
      </c>
      <c r="F14" s="226"/>
      <c r="G14" s="155"/>
      <c r="H14" s="188"/>
      <c r="I14" s="237"/>
      <c r="J14" s="188"/>
      <c r="M14" s="188"/>
      <c r="N14" s="709"/>
      <c r="O14" s="188"/>
    </row>
    <row r="15" spans="1:15" ht="15.75">
      <c r="A15" s="156"/>
      <c r="B15" s="172" t="s">
        <v>0</v>
      </c>
      <c r="C15" s="172" t="s">
        <v>64</v>
      </c>
      <c r="D15" s="172" t="s">
        <v>121</v>
      </c>
      <c r="E15" s="190" t="s">
        <v>182</v>
      </c>
      <c r="F15" s="226"/>
      <c r="G15" s="173"/>
      <c r="I15" s="1039" t="s">
        <v>444</v>
      </c>
      <c r="J15" s="188"/>
      <c r="K15" s="1049"/>
      <c r="M15" s="188"/>
      <c r="N15" s="955"/>
      <c r="O15" s="188"/>
    </row>
    <row r="16" spans="1:15" ht="15.75">
      <c r="A16" s="239" t="s">
        <v>63</v>
      </c>
      <c r="B16" s="451">
        <v>0</v>
      </c>
      <c r="C16" s="174">
        <v>2</v>
      </c>
      <c r="D16" s="174">
        <f>C16*B16</f>
        <v>0</v>
      </c>
      <c r="E16" s="534">
        <v>500</v>
      </c>
      <c r="F16" s="226"/>
      <c r="G16" s="173"/>
      <c r="I16" s="1040">
        <f>B16/UNITS</f>
        <v>0</v>
      </c>
      <c r="J16" s="188"/>
      <c r="K16" s="1050"/>
      <c r="M16" s="188"/>
      <c r="N16" s="188"/>
      <c r="O16" s="188"/>
    </row>
    <row r="17" spans="1:20" ht="15.75">
      <c r="A17" s="1021" t="s">
        <v>320</v>
      </c>
      <c r="B17" s="1022">
        <v>34</v>
      </c>
      <c r="C17" s="174">
        <v>3</v>
      </c>
      <c r="D17" s="174">
        <f>B17*C17</f>
        <v>102</v>
      </c>
      <c r="E17" s="534">
        <v>650</v>
      </c>
      <c r="F17" s="226"/>
      <c r="G17" s="155"/>
      <c r="I17" s="1040">
        <f>B17/UNITS</f>
        <v>0.34343434343434343</v>
      </c>
      <c r="J17" s="188"/>
      <c r="K17" s="1050"/>
      <c r="M17" s="188"/>
      <c r="N17" s="188"/>
      <c r="O17" s="188"/>
    </row>
    <row r="18" spans="1:20" ht="15.75">
      <c r="A18" s="1021" t="s">
        <v>321</v>
      </c>
      <c r="B18" s="1022">
        <v>50</v>
      </c>
      <c r="C18" s="174">
        <v>4</v>
      </c>
      <c r="D18" s="175">
        <f>B18*C18</f>
        <v>200</v>
      </c>
      <c r="E18" s="534">
        <v>800</v>
      </c>
      <c r="F18" s="192"/>
      <c r="G18" s="155"/>
      <c r="I18" s="1040">
        <f>B18/UNITS</f>
        <v>0.50505050505050508</v>
      </c>
      <c r="J18" s="188"/>
      <c r="K18" s="1050"/>
      <c r="M18" s="188"/>
      <c r="N18" s="188"/>
      <c r="O18" s="188"/>
      <c r="S18" s="525"/>
    </row>
    <row r="19" spans="1:20" ht="15.75">
      <c r="A19" s="239" t="s">
        <v>322</v>
      </c>
      <c r="B19" s="451">
        <v>15</v>
      </c>
      <c r="C19" s="174">
        <v>5</v>
      </c>
      <c r="D19" s="175">
        <f>C19*B19</f>
        <v>75</v>
      </c>
      <c r="E19" s="535">
        <v>1000</v>
      </c>
      <c r="F19" s="193"/>
      <c r="G19" s="155"/>
      <c r="I19" s="1040">
        <f>B19/UNITS</f>
        <v>0.15151515151515152</v>
      </c>
      <c r="J19" s="188"/>
      <c r="K19" s="1050"/>
      <c r="M19" s="188"/>
      <c r="N19" s="188"/>
      <c r="O19" s="709"/>
      <c r="S19" s="525"/>
    </row>
    <row r="20" spans="1:20" ht="15.75">
      <c r="A20" s="239" t="s">
        <v>356</v>
      </c>
      <c r="B20" s="451">
        <v>0</v>
      </c>
      <c r="C20" s="174">
        <v>6</v>
      </c>
      <c r="D20" s="175">
        <f>C20*B20</f>
        <v>0</v>
      </c>
      <c r="E20" s="534">
        <v>1250</v>
      </c>
      <c r="F20" s="193"/>
      <c r="G20" s="155"/>
      <c r="I20" s="1040">
        <f>B20/UNITS</f>
        <v>0</v>
      </c>
      <c r="J20" s="188"/>
      <c r="K20" s="1050"/>
      <c r="M20" s="188"/>
      <c r="N20" s="188"/>
      <c r="O20" s="188"/>
      <c r="S20" s="525"/>
    </row>
    <row r="21" spans="1:20" ht="15.75">
      <c r="A21" s="456" t="s">
        <v>52</v>
      </c>
      <c r="B21" s="176">
        <f>SUM(B16:B20)</f>
        <v>99</v>
      </c>
      <c r="C21" s="176"/>
      <c r="D21" s="176">
        <f>SUM(D16:D19)</f>
        <v>377</v>
      </c>
      <c r="E21" s="709"/>
      <c r="F21" s="188"/>
      <c r="G21" s="155"/>
      <c r="H21" s="155"/>
      <c r="I21" s="237"/>
      <c r="J21" s="188"/>
      <c r="K21" s="188"/>
      <c r="L21" s="188"/>
      <c r="M21" s="188"/>
      <c r="N21" s="188"/>
      <c r="R21" s="525"/>
      <c r="S21" s="1121"/>
    </row>
    <row r="22" spans="1:20" ht="15.75">
      <c r="A22" s="239" t="s">
        <v>77</v>
      </c>
      <c r="B22" s="534">
        <v>1</v>
      </c>
      <c r="C22" s="388">
        <v>4</v>
      </c>
      <c r="D22" s="227">
        <f>C22*B22</f>
        <v>4</v>
      </c>
      <c r="E22" s="534">
        <f>E18</f>
        <v>800</v>
      </c>
      <c r="F22" s="226"/>
      <c r="G22" s="155"/>
      <c r="H22" s="155"/>
      <c r="I22" s="237"/>
      <c r="J22" s="188"/>
      <c r="K22" s="188"/>
      <c r="L22" s="188"/>
      <c r="M22" s="188"/>
      <c r="N22" s="188"/>
      <c r="R22" s="525"/>
      <c r="S22" s="1121"/>
    </row>
    <row r="23" spans="1:20" ht="15.75">
      <c r="A23" s="456" t="s">
        <v>1</v>
      </c>
      <c r="B23" s="176">
        <f>B22+B21</f>
        <v>100</v>
      </c>
      <c r="C23" s="177"/>
      <c r="D23" s="176">
        <f>SUM(D21:D22)</f>
        <v>381</v>
      </c>
      <c r="E23" s="190">
        <f>B16*E16+B17*E17+B18*E18+B19*E19+B20*E20+B22*E22</f>
        <v>77900</v>
      </c>
      <c r="F23" s="256" t="s">
        <v>382</v>
      </c>
      <c r="G23" s="155"/>
      <c r="H23" s="1367"/>
      <c r="I23" s="237"/>
      <c r="J23" s="188"/>
      <c r="K23" s="188"/>
      <c r="L23" s="188"/>
      <c r="M23" s="188"/>
      <c r="N23" s="188"/>
    </row>
    <row r="24" spans="1:20">
      <c r="A24" s="245"/>
      <c r="B24" s="188"/>
      <c r="C24" s="188"/>
      <c r="D24" s="188"/>
      <c r="E24" s="1233">
        <f>E23/B23</f>
        <v>779</v>
      </c>
      <c r="F24" s="257" t="s">
        <v>383</v>
      </c>
      <c r="G24" s="188"/>
      <c r="H24" s="188"/>
      <c r="I24" s="237"/>
      <c r="J24" s="188"/>
      <c r="K24" s="188"/>
      <c r="L24" s="188"/>
      <c r="M24" s="188"/>
      <c r="P24" s="709"/>
      <c r="Q24" s="525"/>
    </row>
    <row r="25" spans="1:20">
      <c r="A25" s="246"/>
      <c r="B25" s="242"/>
      <c r="C25" s="242"/>
      <c r="D25" s="242"/>
      <c r="E25" s="334"/>
      <c r="F25" s="334"/>
      <c r="G25" s="242"/>
      <c r="H25" s="242"/>
      <c r="I25" s="238"/>
      <c r="J25" s="188"/>
      <c r="K25" s="188"/>
      <c r="L25" s="188"/>
      <c r="M25" s="188"/>
      <c r="P25" s="188"/>
      <c r="Q25" s="709"/>
    </row>
    <row r="26" spans="1:20" ht="15.75">
      <c r="B26" s="173"/>
      <c r="C26" s="173"/>
      <c r="D26" s="173"/>
      <c r="E26" s="155"/>
      <c r="F26" s="155"/>
      <c r="G26" s="155"/>
      <c r="H26" s="188"/>
      <c r="I26" s="332"/>
      <c r="J26" s="188"/>
      <c r="K26" s="188"/>
      <c r="L26" s="188"/>
      <c r="M26" s="188"/>
      <c r="P26" s="188"/>
      <c r="Q26" s="188"/>
      <c r="R26" s="180"/>
      <c r="S26" s="1100"/>
      <c r="T26" s="155"/>
    </row>
    <row r="27" spans="1:20" ht="16.5" thickBot="1">
      <c r="A27" s="189"/>
      <c r="B27" s="233"/>
      <c r="C27" s="233"/>
      <c r="D27" s="233"/>
      <c r="E27" s="214"/>
      <c r="F27" s="214"/>
      <c r="G27" s="214"/>
      <c r="H27" s="231"/>
      <c r="I27" s="231"/>
      <c r="J27" s="188"/>
      <c r="K27" s="188"/>
      <c r="L27" s="188"/>
      <c r="M27" s="188"/>
      <c r="P27" s="188"/>
      <c r="Q27" s="188"/>
      <c r="R27" s="180"/>
      <c r="S27" s="1100"/>
      <c r="T27" s="155"/>
    </row>
    <row r="28" spans="1:20" ht="16.5" thickTop="1">
      <c r="A28" s="253" t="s">
        <v>350</v>
      </c>
      <c r="B28" s="194"/>
      <c r="C28" s="155"/>
      <c r="D28" s="155"/>
      <c r="E28" s="333"/>
      <c r="F28" s="155"/>
      <c r="G28" s="155"/>
      <c r="H28" s="188"/>
      <c r="I28" s="241"/>
      <c r="J28" s="188"/>
      <c r="K28" s="188"/>
      <c r="L28" s="188"/>
      <c r="M28" s="188"/>
      <c r="P28" s="188"/>
      <c r="Q28" s="188"/>
      <c r="R28" s="342"/>
      <c r="S28" s="1101"/>
      <c r="T28" s="343"/>
    </row>
    <row r="29" spans="1:20" s="228" customFormat="1" ht="30" customHeight="1">
      <c r="A29" s="254"/>
      <c r="B29" s="178" t="s">
        <v>2</v>
      </c>
      <c r="C29" s="459" t="s">
        <v>3</v>
      </c>
      <c r="D29" s="178" t="s">
        <v>4</v>
      </c>
      <c r="E29" s="195"/>
      <c r="F29" s="195"/>
      <c r="G29" s="195"/>
      <c r="H29" s="197"/>
      <c r="I29" s="340"/>
      <c r="J29" s="197"/>
      <c r="K29" s="197"/>
      <c r="L29" s="197"/>
      <c r="M29" s="197"/>
      <c r="P29" s="188"/>
      <c r="Q29" s="188"/>
      <c r="R29" s="155"/>
      <c r="S29" s="84"/>
      <c r="T29" s="188"/>
    </row>
    <row r="30" spans="1:20">
      <c r="A30" s="239" t="s">
        <v>109</v>
      </c>
      <c r="B30" s="388">
        <v>0</v>
      </c>
      <c r="C30" s="414">
        <v>0</v>
      </c>
      <c r="D30" s="83">
        <f>B30*C30*12</f>
        <v>0</v>
      </c>
      <c r="E30" s="155"/>
      <c r="F30" s="155"/>
      <c r="G30" s="155"/>
      <c r="H30" s="188"/>
      <c r="I30" s="237"/>
      <c r="J30" s="188"/>
      <c r="K30" s="188"/>
      <c r="L30" s="188"/>
      <c r="M30" s="188"/>
      <c r="N30" s="188"/>
    </row>
    <row r="31" spans="1:20">
      <c r="A31" s="239"/>
      <c r="B31" s="194"/>
      <c r="C31" s="196"/>
      <c r="D31" s="83"/>
      <c r="E31" s="155"/>
      <c r="F31" s="155"/>
      <c r="G31" s="155"/>
      <c r="H31" s="188"/>
      <c r="I31" s="237"/>
      <c r="J31" s="188"/>
      <c r="K31" s="188"/>
      <c r="L31" s="188"/>
      <c r="M31" s="188"/>
      <c r="N31" s="188"/>
    </row>
    <row r="32" spans="1:20" s="228" customFormat="1" ht="30.75" customHeight="1">
      <c r="A32" s="255"/>
      <c r="B32" s="460" t="s">
        <v>5</v>
      </c>
      <c r="C32" s="461" t="s">
        <v>6</v>
      </c>
      <c r="D32" s="178" t="s">
        <v>4</v>
      </c>
      <c r="E32" s="195"/>
      <c r="F32" s="229"/>
      <c r="G32" s="195"/>
      <c r="H32" s="197"/>
      <c r="I32" s="340"/>
      <c r="J32" s="197"/>
      <c r="K32" s="197"/>
      <c r="L32" s="197"/>
      <c r="M32" s="197"/>
      <c r="N32" s="197"/>
    </row>
    <row r="33" spans="1:19">
      <c r="A33" s="239" t="s">
        <v>83</v>
      </c>
      <c r="B33" s="416">
        <f>E6</f>
        <v>0</v>
      </c>
      <c r="C33" s="389">
        <v>0</v>
      </c>
      <c r="D33" s="83">
        <f>C33*B33</f>
        <v>0</v>
      </c>
      <c r="E33" s="196"/>
      <c r="F33" s="155"/>
      <c r="G33" s="155"/>
      <c r="H33" s="188"/>
      <c r="I33" s="237"/>
      <c r="J33" s="188"/>
      <c r="K33" s="188"/>
      <c r="L33" s="188"/>
      <c r="M33" s="188"/>
      <c r="N33" s="188"/>
    </row>
    <row r="34" spans="1:19" ht="32.25" customHeight="1">
      <c r="A34" s="239"/>
      <c r="B34" s="460" t="s">
        <v>5</v>
      </c>
      <c r="C34" s="461" t="s">
        <v>6</v>
      </c>
      <c r="D34" s="83"/>
      <c r="E34" s="196"/>
      <c r="F34" s="155"/>
      <c r="G34" s="155"/>
      <c r="H34" s="188"/>
      <c r="I34" s="237"/>
      <c r="J34" s="188"/>
      <c r="K34" s="188"/>
      <c r="L34" s="188"/>
      <c r="M34" s="188"/>
      <c r="N34" s="188"/>
    </row>
    <row r="35" spans="1:19">
      <c r="A35" s="1021" t="s">
        <v>105</v>
      </c>
      <c r="B35" s="416">
        <f>E8</f>
        <v>0</v>
      </c>
      <c r="C35" s="389">
        <v>0</v>
      </c>
      <c r="D35" s="83">
        <f>C35*B35</f>
        <v>0</v>
      </c>
      <c r="E35" s="196"/>
      <c r="F35" s="155"/>
      <c r="G35" s="155"/>
      <c r="H35" s="188"/>
      <c r="I35" s="237"/>
      <c r="J35" s="188"/>
      <c r="K35" s="188"/>
      <c r="L35" s="188"/>
      <c r="M35" s="188"/>
      <c r="N35" s="188"/>
    </row>
    <row r="36" spans="1:19">
      <c r="A36" s="245"/>
      <c r="B36" s="188"/>
      <c r="C36" s="188"/>
      <c r="D36" s="188"/>
      <c r="E36" s="188"/>
      <c r="F36" s="188"/>
      <c r="G36" s="188"/>
      <c r="H36" s="188"/>
      <c r="I36" s="237"/>
      <c r="J36" s="188"/>
      <c r="K36" s="188"/>
      <c r="L36" s="188"/>
      <c r="M36" s="188"/>
      <c r="N36" s="188"/>
    </row>
    <row r="37" spans="1:19" s="228" customFormat="1" ht="15" customHeight="1">
      <c r="A37" s="254"/>
      <c r="B37" s="178" t="s">
        <v>7</v>
      </c>
      <c r="C37" s="178" t="s">
        <v>125</v>
      </c>
      <c r="D37" s="178" t="s">
        <v>4</v>
      </c>
      <c r="E37" s="195"/>
      <c r="F37" s="195"/>
      <c r="G37" s="197"/>
      <c r="H37" s="197"/>
      <c r="I37" s="340"/>
      <c r="J37" s="197"/>
      <c r="K37" s="197"/>
      <c r="L37" s="197"/>
      <c r="M37" s="197"/>
      <c r="N37" s="197"/>
    </row>
    <row r="38" spans="1:19">
      <c r="A38" s="239" t="s">
        <v>8</v>
      </c>
      <c r="B38" s="416">
        <f>H94+1</f>
        <v>100</v>
      </c>
      <c r="C38" s="530">
        <v>70</v>
      </c>
      <c r="D38" s="83">
        <f>B38*C38</f>
        <v>7000</v>
      </c>
      <c r="E38" s="155"/>
      <c r="F38" s="341"/>
      <c r="G38" s="341"/>
      <c r="H38" s="188"/>
      <c r="I38" s="237"/>
      <c r="J38" s="188"/>
      <c r="K38" s="188"/>
      <c r="L38" s="188"/>
    </row>
    <row r="39" spans="1:19">
      <c r="A39" s="239"/>
      <c r="B39" s="451"/>
      <c r="C39" s="188"/>
      <c r="D39" s="83"/>
      <c r="E39" s="155"/>
      <c r="F39" s="83"/>
      <c r="G39" s="341"/>
      <c r="H39" s="188"/>
      <c r="I39" s="237"/>
      <c r="J39" s="188"/>
      <c r="K39" s="188"/>
      <c r="L39" s="188"/>
    </row>
    <row r="40" spans="1:19">
      <c r="A40" s="1128"/>
      <c r="B40" s="1101" t="s">
        <v>7</v>
      </c>
      <c r="C40" s="1101" t="s">
        <v>125</v>
      </c>
      <c r="D40" s="1101" t="s">
        <v>4</v>
      </c>
      <c r="E40" s="188"/>
      <c r="F40" s="341"/>
      <c r="G40" s="341"/>
      <c r="H40" s="188"/>
      <c r="I40" s="237"/>
      <c r="J40" s="188"/>
      <c r="K40" s="188"/>
      <c r="L40" s="188"/>
    </row>
    <row r="41" spans="1:19" ht="15.75">
      <c r="A41" s="1129" t="s">
        <v>464</v>
      </c>
      <c r="B41" s="1130">
        <v>100</v>
      </c>
      <c r="C41" s="1139">
        <v>14000</v>
      </c>
      <c r="D41" s="1126">
        <f>B41*C41</f>
        <v>1400000</v>
      </c>
      <c r="E41" s="188"/>
      <c r="F41" s="341"/>
      <c r="G41" s="341"/>
      <c r="H41" s="341"/>
      <c r="I41" s="237"/>
      <c r="J41" s="188"/>
      <c r="K41" s="1160">
        <f>D41/B41/365</f>
        <v>38.356164383561641</v>
      </c>
      <c r="L41" s="1161" t="s">
        <v>460</v>
      </c>
    </row>
    <row r="42" spans="1:19">
      <c r="A42" s="245"/>
      <c r="B42" s="188"/>
      <c r="C42" s="198"/>
      <c r="D42" s="188"/>
      <c r="E42" s="188"/>
      <c r="F42" s="188"/>
      <c r="G42" s="188"/>
      <c r="H42" s="188"/>
      <c r="I42" s="237"/>
      <c r="J42" s="188"/>
      <c r="K42" s="188"/>
      <c r="L42" s="188"/>
    </row>
    <row r="43" spans="1:19" ht="15.75">
      <c r="A43" s="245"/>
      <c r="B43" s="155"/>
      <c r="C43" s="181" t="s">
        <v>123</v>
      </c>
      <c r="D43" s="182">
        <f>D38+D33+D30+D35+D41</f>
        <v>1407000</v>
      </c>
      <c r="E43" s="199">
        <f>D43/$I$98</f>
        <v>0.62779260623616251</v>
      </c>
      <c r="F43" s="83"/>
      <c r="G43" s="188"/>
      <c r="H43" s="341"/>
      <c r="I43" s="237"/>
      <c r="J43" s="188"/>
      <c r="K43" s="188"/>
      <c r="L43" s="188"/>
    </row>
    <row r="44" spans="1:19">
      <c r="A44" s="246"/>
      <c r="B44" s="242"/>
      <c r="C44" s="242"/>
      <c r="D44" s="242"/>
      <c r="E44" s="242"/>
      <c r="F44" s="216"/>
      <c r="G44" s="242"/>
      <c r="H44" s="242"/>
      <c r="I44" s="238"/>
      <c r="J44" s="188"/>
      <c r="K44" s="188"/>
      <c r="L44" s="188"/>
    </row>
    <row r="45" spans="1:19" ht="15.75" thickBot="1">
      <c r="B45" s="17"/>
      <c r="C45" s="17"/>
      <c r="D45" s="17"/>
      <c r="E45" s="17"/>
      <c r="F45" s="17"/>
      <c r="G45" s="43"/>
      <c r="H45" s="188"/>
      <c r="I45" s="188"/>
      <c r="J45" s="421"/>
      <c r="K45" s="421"/>
      <c r="L45" s="188"/>
    </row>
    <row r="46" spans="1:19" ht="16.5" thickTop="1">
      <c r="A46" s="253" t="s">
        <v>303</v>
      </c>
      <c r="B46" s="333"/>
      <c r="C46" s="333"/>
      <c r="D46" s="333"/>
      <c r="E46" s="333"/>
      <c r="F46" s="333"/>
      <c r="G46" s="333"/>
      <c r="H46" s="333"/>
      <c r="I46" s="241"/>
      <c r="J46"/>
      <c r="K46"/>
      <c r="L46" s="598"/>
      <c r="M46" s="188"/>
      <c r="N46" s="188"/>
      <c r="O46" s="181"/>
      <c r="P46" s="180"/>
      <c r="Q46" s="145"/>
      <c r="R46" s="1099"/>
      <c r="S46" s="188"/>
    </row>
    <row r="47" spans="1:19" ht="30">
      <c r="F47" s="436"/>
      <c r="G47" s="332"/>
      <c r="H47" s="437" t="s">
        <v>289</v>
      </c>
      <c r="I47" s="438" t="s">
        <v>346</v>
      </c>
      <c r="J47" s="107"/>
      <c r="K47"/>
      <c r="L47"/>
    </row>
    <row r="48" spans="1:19" ht="15.75">
      <c r="A48" s="574"/>
      <c r="B48" s="575" t="s">
        <v>427</v>
      </c>
      <c r="C48" s="577">
        <v>83900</v>
      </c>
      <c r="D48" s="576" t="s">
        <v>287</v>
      </c>
      <c r="F48" s="439">
        <v>1</v>
      </c>
      <c r="G48" s="424" t="s">
        <v>291</v>
      </c>
      <c r="H48" s="648">
        <v>49</v>
      </c>
      <c r="I48" s="649">
        <v>17</v>
      </c>
      <c r="J48" s="106"/>
      <c r="K48"/>
      <c r="L48"/>
      <c r="N48" s="525"/>
      <c r="Q48" s="1098"/>
    </row>
    <row r="49" spans="1:18" ht="15.75">
      <c r="A49" s="442"/>
      <c r="B49" s="443"/>
      <c r="C49" s="338">
        <v>1543</v>
      </c>
      <c r="D49" s="444" t="s">
        <v>288</v>
      </c>
      <c r="E49" s="200"/>
      <c r="F49" s="439" t="s">
        <v>292</v>
      </c>
      <c r="G49" s="424" t="s">
        <v>293</v>
      </c>
      <c r="H49" s="648">
        <v>50</v>
      </c>
      <c r="I49" s="649">
        <v>18</v>
      </c>
      <c r="J49" s="106"/>
      <c r="K49"/>
      <c r="L49"/>
      <c r="M49" s="1097"/>
      <c r="Q49" s="1098"/>
    </row>
    <row r="50" spans="1:18">
      <c r="E50" s="43"/>
      <c r="F50" s="439" t="s">
        <v>294</v>
      </c>
      <c r="G50" s="424" t="s">
        <v>295</v>
      </c>
      <c r="H50" s="648">
        <v>52</v>
      </c>
      <c r="I50" s="649">
        <v>18</v>
      </c>
      <c r="J50" s="422"/>
      <c r="K50"/>
      <c r="L50"/>
      <c r="M50" s="1097"/>
      <c r="Q50" s="1098"/>
    </row>
    <row r="51" spans="1:18">
      <c r="A51" s="84" t="s">
        <v>327</v>
      </c>
      <c r="D51" s="478"/>
      <c r="F51" s="439" t="s">
        <v>296</v>
      </c>
      <c r="G51" s="424" t="s">
        <v>297</v>
      </c>
      <c r="H51" s="648">
        <v>62</v>
      </c>
      <c r="I51" s="649">
        <v>19</v>
      </c>
      <c r="J51" s="426"/>
      <c r="K51"/>
      <c r="L51"/>
      <c r="M51" s="1097"/>
      <c r="Q51" s="1098"/>
    </row>
    <row r="52" spans="1:18">
      <c r="E52" s="425"/>
      <c r="F52" s="440" t="s">
        <v>352</v>
      </c>
      <c r="G52" s="441" t="s">
        <v>351</v>
      </c>
      <c r="H52" s="650">
        <v>65</v>
      </c>
      <c r="I52" s="651">
        <v>20</v>
      </c>
      <c r="J52" s="486"/>
      <c r="K52"/>
      <c r="L52"/>
      <c r="Q52" s="1098"/>
    </row>
    <row r="53" spans="1:18">
      <c r="B53" s="136"/>
      <c r="C53" s="136"/>
      <c r="D53" s="453"/>
      <c r="E53" s="70"/>
      <c r="F53" s="415"/>
      <c r="G53" s="415"/>
      <c r="H53" s="415"/>
      <c r="I53" s="434"/>
      <c r="J53" s="415"/>
      <c r="K53"/>
      <c r="M53" s="1097"/>
      <c r="N53" s="1097"/>
    </row>
    <row r="54" spans="1:18" ht="15.75">
      <c r="A54" s="495">
        <v>0.08</v>
      </c>
      <c r="B54" s="427" t="s">
        <v>306</v>
      </c>
      <c r="C54" s="428">
        <f>C48*A54</f>
        <v>6712</v>
      </c>
      <c r="D54" s="1117" t="s">
        <v>465</v>
      </c>
      <c r="E54" s="43"/>
      <c r="F54" s="106"/>
      <c r="G54" s="106"/>
      <c r="H54" s="106"/>
      <c r="I54" s="435"/>
      <c r="J54" s="106"/>
      <c r="K54" s="1166"/>
      <c r="L54"/>
    </row>
    <row r="55" spans="1:18" ht="30">
      <c r="A55" s="106" t="s">
        <v>307</v>
      </c>
      <c r="B55" s="424" t="s">
        <v>298</v>
      </c>
      <c r="C55" s="429" t="s">
        <v>299</v>
      </c>
      <c r="D55" s="43" t="s">
        <v>317</v>
      </c>
      <c r="E55" s="423" t="s">
        <v>300</v>
      </c>
      <c r="F55" s="519" t="s">
        <v>301</v>
      </c>
      <c r="G55" s="422" t="s">
        <v>302</v>
      </c>
      <c r="H55" s="422" t="s">
        <v>304</v>
      </c>
      <c r="I55" s="431" t="s">
        <v>305</v>
      </c>
      <c r="K55"/>
      <c r="L55"/>
      <c r="N55" s="525" t="s">
        <v>445</v>
      </c>
    </row>
    <row r="56" spans="1:18">
      <c r="A56" s="424" t="s">
        <v>291</v>
      </c>
      <c r="B56" s="424">
        <v>1</v>
      </c>
      <c r="C56" s="430">
        <v>0.7</v>
      </c>
      <c r="D56" s="425">
        <f>$C$54*C56</f>
        <v>4698.3999999999996</v>
      </c>
      <c r="E56" s="426">
        <f>ROUNDDOWN(D56*0.3/12,0)</f>
        <v>117</v>
      </c>
      <c r="F56" s="455">
        <f>IF($D$51=1, H48, H48)*-1</f>
        <v>-49</v>
      </c>
      <c r="G56" s="426">
        <f>E56+F56</f>
        <v>68</v>
      </c>
      <c r="H56" s="516">
        <v>0</v>
      </c>
      <c r="I56" s="433">
        <f>G56*H56*12</f>
        <v>0</v>
      </c>
      <c r="K56"/>
      <c r="L56"/>
      <c r="N56" s="90"/>
    </row>
    <row r="57" spans="1:18">
      <c r="A57" s="424" t="s">
        <v>293</v>
      </c>
      <c r="B57" s="424">
        <v>1.5</v>
      </c>
      <c r="C57" s="430">
        <v>0.75</v>
      </c>
      <c r="D57" s="425">
        <f>$C$54*C57</f>
        <v>5034</v>
      </c>
      <c r="E57" s="426">
        <f>ROUNDDOWN(D57*0.3/12,0)</f>
        <v>125</v>
      </c>
      <c r="F57" s="455">
        <f>IF($D$51=1, H49, H49)*-1</f>
        <v>-50</v>
      </c>
      <c r="G57" s="426">
        <f>E57+F57</f>
        <v>75</v>
      </c>
      <c r="H57" s="911">
        <v>5</v>
      </c>
      <c r="I57" s="433">
        <f>G57*H57*12</f>
        <v>4500</v>
      </c>
      <c r="K57"/>
      <c r="L57"/>
      <c r="N57" s="90">
        <f>H57/B17</f>
        <v>0.14705882352941177</v>
      </c>
    </row>
    <row r="58" spans="1:18">
      <c r="A58" s="424" t="s">
        <v>295</v>
      </c>
      <c r="B58" s="424">
        <v>3</v>
      </c>
      <c r="C58" s="430">
        <v>0.9</v>
      </c>
      <c r="D58" s="425">
        <f>$C$54*C58</f>
        <v>6040.8</v>
      </c>
      <c r="E58" s="426">
        <f>ROUNDDOWN(D58*0.3/12,0)</f>
        <v>151</v>
      </c>
      <c r="F58" s="455">
        <f>IF($D$51=1, H50, H50)*-1</f>
        <v>-52</v>
      </c>
      <c r="G58" s="426">
        <f>E58+F58</f>
        <v>99</v>
      </c>
      <c r="H58" s="911">
        <v>3</v>
      </c>
      <c r="I58" s="433">
        <f>G58*H58*12</f>
        <v>3564</v>
      </c>
      <c r="K58"/>
      <c r="L58"/>
      <c r="N58" s="90">
        <f>H58/B18</f>
        <v>0.06</v>
      </c>
    </row>
    <row r="59" spans="1:18">
      <c r="A59" s="424" t="s">
        <v>297</v>
      </c>
      <c r="B59" s="424">
        <v>4.5</v>
      </c>
      <c r="C59" s="430">
        <v>1.04</v>
      </c>
      <c r="D59" s="425">
        <f>$C$54*C59</f>
        <v>6980.4800000000005</v>
      </c>
      <c r="E59" s="426">
        <f>ROUNDDOWN(D59*0.3/12,0)</f>
        <v>174</v>
      </c>
      <c r="F59" s="455">
        <f>IF($D$51=1, H51, H51)*-1</f>
        <v>-62</v>
      </c>
      <c r="G59" s="426">
        <f>E59+F59</f>
        <v>112</v>
      </c>
      <c r="H59" s="911">
        <v>2</v>
      </c>
      <c r="I59" s="433">
        <f>G59*H59*12</f>
        <v>2688</v>
      </c>
      <c r="K59"/>
      <c r="L59"/>
      <c r="N59" s="90">
        <f>H59/B19</f>
        <v>0.13333333333333333</v>
      </c>
    </row>
    <row r="60" spans="1:18" ht="17.25">
      <c r="A60" s="424" t="s">
        <v>351</v>
      </c>
      <c r="B60" s="106">
        <v>6</v>
      </c>
      <c r="C60" s="430">
        <v>1.1599999999999999</v>
      </c>
      <c r="D60" s="425">
        <f>$C$54*C60</f>
        <v>7785.9199999999992</v>
      </c>
      <c r="E60" s="426">
        <f>ROUNDDOWN(D60*0.3/12,0)</f>
        <v>194</v>
      </c>
      <c r="F60" s="455">
        <f>IF($D$51=1, H52, H52)*-1</f>
        <v>-65</v>
      </c>
      <c r="G60" s="426">
        <f>E60+F60</f>
        <v>129</v>
      </c>
      <c r="H60" s="516">
        <v>0</v>
      </c>
      <c r="I60" s="505">
        <f>G60*H60*12</f>
        <v>0</v>
      </c>
      <c r="J60" s="106"/>
      <c r="K60"/>
      <c r="L60"/>
    </row>
    <row r="61" spans="1:18">
      <c r="B61" s="415"/>
      <c r="C61" s="415"/>
      <c r="D61" s="415"/>
      <c r="E61" s="70"/>
      <c r="F61" s="415"/>
      <c r="G61" s="415"/>
      <c r="H61" s="506">
        <f>SUM(H56:H60)</f>
        <v>10</v>
      </c>
      <c r="I61" s="502">
        <f>SUM(I56:I60)</f>
        <v>10752</v>
      </c>
      <c r="J61" s="1119"/>
      <c r="K61" s="692"/>
      <c r="L61" s="90">
        <f>H61/H94</f>
        <v>0.10101010101010101</v>
      </c>
      <c r="O61" s="1034"/>
      <c r="Q61" s="1034"/>
      <c r="R61" s="525"/>
    </row>
    <row r="62" spans="1:18" ht="15.75">
      <c r="A62" s="495">
        <v>0.17</v>
      </c>
      <c r="B62" s="427" t="s">
        <v>306</v>
      </c>
      <c r="C62" s="428">
        <f>C48*A62</f>
        <v>14263.000000000002</v>
      </c>
      <c r="D62" s="1117" t="s">
        <v>465</v>
      </c>
      <c r="E62" s="43"/>
      <c r="F62" s="106"/>
      <c r="G62" s="106"/>
      <c r="H62" s="106"/>
      <c r="I62" s="435"/>
      <c r="J62" s="106"/>
      <c r="K62"/>
      <c r="L62"/>
      <c r="O62" s="1035"/>
    </row>
    <row r="63" spans="1:18" ht="30.75">
      <c r="A63" s="635" t="s">
        <v>307</v>
      </c>
      <c r="B63" s="424" t="s">
        <v>298</v>
      </c>
      <c r="C63" s="429" t="s">
        <v>299</v>
      </c>
      <c r="D63" s="43" t="s">
        <v>317</v>
      </c>
      <c r="E63" s="423" t="s">
        <v>300</v>
      </c>
      <c r="F63" s="519" t="s">
        <v>301</v>
      </c>
      <c r="G63" s="422" t="s">
        <v>302</v>
      </c>
      <c r="H63" s="422" t="s">
        <v>304</v>
      </c>
      <c r="I63" s="431" t="s">
        <v>305</v>
      </c>
      <c r="J63" s="520"/>
      <c r="K63" s="520"/>
      <c r="L63"/>
      <c r="O63" s="1035"/>
    </row>
    <row r="64" spans="1:18">
      <c r="A64" s="636" t="s">
        <v>291</v>
      </c>
      <c r="B64" s="424">
        <v>1</v>
      </c>
      <c r="C64" s="430">
        <v>0.7</v>
      </c>
      <c r="D64" s="425">
        <f>$C$62*C64</f>
        <v>9984.1</v>
      </c>
      <c r="E64" s="426">
        <f>ROUNDDOWN(D64*0.3/12,0)</f>
        <v>249</v>
      </c>
      <c r="F64" s="455">
        <f>IF($D$51=1, H48, H48)*-1</f>
        <v>-49</v>
      </c>
      <c r="G64" s="426">
        <f>E64+F64</f>
        <v>200</v>
      </c>
      <c r="H64" s="526">
        <v>0</v>
      </c>
      <c r="I64" s="433">
        <f>G64*H64*12</f>
        <v>0</v>
      </c>
      <c r="J64" s="521"/>
      <c r="K64" s="522"/>
      <c r="L64"/>
      <c r="N64" s="90"/>
      <c r="O64" s="1035"/>
    </row>
    <row r="65" spans="1:19">
      <c r="A65" s="636" t="s">
        <v>293</v>
      </c>
      <c r="B65" s="424">
        <v>1.5</v>
      </c>
      <c r="C65" s="430">
        <v>0.75</v>
      </c>
      <c r="D65" s="425">
        <f>$C$62*C65</f>
        <v>10697.250000000002</v>
      </c>
      <c r="E65" s="426">
        <f>ROUNDDOWN(D65*0.3/12,0)</f>
        <v>267</v>
      </c>
      <c r="F65" s="455">
        <f>IF($D$51=1, H49, H49)*-1</f>
        <v>-50</v>
      </c>
      <c r="G65" s="426">
        <f>E65+F65</f>
        <v>217</v>
      </c>
      <c r="H65" s="526">
        <v>3</v>
      </c>
      <c r="I65" s="433">
        <f>G65*H65*12</f>
        <v>7812</v>
      </c>
      <c r="J65" s="523"/>
      <c r="K65" s="524"/>
      <c r="L65"/>
      <c r="N65" s="90">
        <f>H65/$B17</f>
        <v>8.8235294117647065E-2</v>
      </c>
      <c r="O65" s="1035"/>
    </row>
    <row r="66" spans="1:19">
      <c r="A66" s="636" t="s">
        <v>295</v>
      </c>
      <c r="B66" s="424">
        <v>3</v>
      </c>
      <c r="C66" s="430">
        <v>0.9</v>
      </c>
      <c r="D66" s="425">
        <f>$C$62*C66</f>
        <v>12836.700000000003</v>
      </c>
      <c r="E66" s="426">
        <f>ROUNDDOWN(D66*0.3/12,0)</f>
        <v>320</v>
      </c>
      <c r="F66" s="455">
        <f>IF($D$51=1, H50, H50)*-1</f>
        <v>-52</v>
      </c>
      <c r="G66" s="426">
        <f>E66+F66</f>
        <v>268</v>
      </c>
      <c r="H66" s="526">
        <v>5</v>
      </c>
      <c r="I66" s="433">
        <f>G66*H66*12</f>
        <v>16080</v>
      </c>
      <c r="K66" s="524"/>
      <c r="L66"/>
      <c r="N66" s="90">
        <f>H66/$B18</f>
        <v>0.1</v>
      </c>
      <c r="O66" s="1035"/>
    </row>
    <row r="67" spans="1:19">
      <c r="A67" s="636" t="s">
        <v>297</v>
      </c>
      <c r="B67" s="424">
        <v>4.5</v>
      </c>
      <c r="C67" s="430">
        <v>1.04</v>
      </c>
      <c r="D67" s="425">
        <f>$C$62*C67</f>
        <v>14833.520000000002</v>
      </c>
      <c r="E67" s="426">
        <f>ROUNDDOWN(D67*0.3/12,0)</f>
        <v>370</v>
      </c>
      <c r="F67" s="455">
        <f>IF($D$51=1, H51, H51)*-1</f>
        <v>-62</v>
      </c>
      <c r="G67" s="426">
        <f>E67+F67</f>
        <v>308</v>
      </c>
      <c r="H67" s="526">
        <v>2</v>
      </c>
      <c r="I67" s="433">
        <f>G67*H67*12</f>
        <v>7392</v>
      </c>
      <c r="J67" s="523"/>
      <c r="K67" s="524"/>
      <c r="L67"/>
      <c r="N67" s="90">
        <f>H67/$B19</f>
        <v>0.13333333333333333</v>
      </c>
      <c r="O67" s="1035"/>
    </row>
    <row r="68" spans="1:19" ht="17.25">
      <c r="A68" s="636" t="s">
        <v>351</v>
      </c>
      <c r="B68" s="106">
        <v>6</v>
      </c>
      <c r="C68" s="430">
        <v>1.1599999999999999</v>
      </c>
      <c r="D68" s="425">
        <f>$C$62*C68</f>
        <v>16545.080000000002</v>
      </c>
      <c r="E68" s="426">
        <f>ROUNDDOWN(D68*0.3/12,0)</f>
        <v>413</v>
      </c>
      <c r="F68" s="455">
        <f>IF($D$51=1, H52, H52)*-1</f>
        <v>-65</v>
      </c>
      <c r="G68" s="426">
        <f>E68+F68</f>
        <v>348</v>
      </c>
      <c r="H68" s="526">
        <v>0</v>
      </c>
      <c r="I68" s="505">
        <f>G68*H68*12</f>
        <v>0</v>
      </c>
      <c r="K68" s="524"/>
      <c r="L68"/>
      <c r="O68" s="1035"/>
    </row>
    <row r="69" spans="1:19">
      <c r="A69" s="525"/>
      <c r="B69" s="415"/>
      <c r="C69" s="415"/>
      <c r="D69" s="415"/>
      <c r="E69" s="70"/>
      <c r="F69" s="415"/>
      <c r="G69" s="415"/>
      <c r="H69" s="527">
        <f>SUM(H64:H68)</f>
        <v>10</v>
      </c>
      <c r="I69" s="502">
        <f>SUM(I64:I68)</f>
        <v>31284</v>
      </c>
      <c r="J69" s="1119"/>
      <c r="K69" s="692"/>
      <c r="L69" s="90">
        <f>H69/H94</f>
        <v>0.10101010101010101</v>
      </c>
      <c r="O69" s="1034"/>
    </row>
    <row r="70" spans="1:19" ht="15.75">
      <c r="A70" s="495">
        <v>0.56999999999999995</v>
      </c>
      <c r="B70" s="427" t="s">
        <v>306</v>
      </c>
      <c r="C70" s="428">
        <f>C48*A70</f>
        <v>47822.999999999993</v>
      </c>
      <c r="D70" s="1118" t="s">
        <v>466</v>
      </c>
      <c r="E70" s="43"/>
      <c r="F70" s="106"/>
      <c r="G70" s="106"/>
      <c r="H70" s="106"/>
      <c r="I70" s="435"/>
      <c r="J70" s="766"/>
      <c r="K70" s="692"/>
      <c r="L70"/>
      <c r="O70" s="1035"/>
      <c r="Q70"/>
      <c r="R70" s="525"/>
      <c r="S70" s="1026"/>
    </row>
    <row r="71" spans="1:19" ht="30">
      <c r="A71" s="635" t="s">
        <v>307</v>
      </c>
      <c r="B71" s="424" t="s">
        <v>298</v>
      </c>
      <c r="C71" s="429" t="s">
        <v>299</v>
      </c>
      <c r="D71" s="43" t="s">
        <v>317</v>
      </c>
      <c r="E71" s="423" t="s">
        <v>300</v>
      </c>
      <c r="F71" s="519" t="s">
        <v>301</v>
      </c>
      <c r="G71" s="422" t="s">
        <v>302</v>
      </c>
      <c r="H71" s="422" t="s">
        <v>304</v>
      </c>
      <c r="I71" s="431" t="s">
        <v>305</v>
      </c>
      <c r="J71" s="1026"/>
      <c r="K71"/>
      <c r="L71"/>
      <c r="O71" s="1035"/>
    </row>
    <row r="72" spans="1:19">
      <c r="A72" s="636" t="s">
        <v>291</v>
      </c>
      <c r="B72" s="424">
        <v>1</v>
      </c>
      <c r="C72" s="430">
        <v>0.7</v>
      </c>
      <c r="D72" s="425">
        <f>$C$70*C72</f>
        <v>33476.099999999991</v>
      </c>
      <c r="E72" s="426">
        <f>ROUNDDOWN(D72*0.3/12,0)</f>
        <v>836</v>
      </c>
      <c r="F72" s="455">
        <f>IF($D$51=1, H48, H48)*-1</f>
        <v>-49</v>
      </c>
      <c r="G72" s="426">
        <f>E72+F72</f>
        <v>787</v>
      </c>
      <c r="H72" s="1111">
        <f>B16-H56-H64</f>
        <v>0</v>
      </c>
      <c r="I72" s="433">
        <f>G72*H72*12</f>
        <v>0</v>
      </c>
      <c r="K72" s="475"/>
      <c r="L72"/>
      <c r="N72" s="90"/>
      <c r="O72" s="1035"/>
    </row>
    <row r="73" spans="1:19">
      <c r="A73" s="636" t="s">
        <v>293</v>
      </c>
      <c r="B73" s="424">
        <v>1.5</v>
      </c>
      <c r="C73" s="430">
        <v>0.75</v>
      </c>
      <c r="D73" s="425">
        <f>$C$70*C73</f>
        <v>35867.249999999993</v>
      </c>
      <c r="E73" s="426">
        <f>ROUNDDOWN(D73*0.3/12,0)</f>
        <v>896</v>
      </c>
      <c r="F73" s="455">
        <f>IF($D$51=1, H49, H49)*-1</f>
        <v>-50</v>
      </c>
      <c r="G73" s="426">
        <f>E73+F73</f>
        <v>846</v>
      </c>
      <c r="H73" s="1111">
        <f>B17-H57-H65-H81</f>
        <v>19</v>
      </c>
      <c r="I73" s="433">
        <f>G73*H73*12</f>
        <v>192888</v>
      </c>
      <c r="K73"/>
      <c r="L73"/>
      <c r="N73" s="90">
        <f>H73/$B17</f>
        <v>0.55882352941176472</v>
      </c>
      <c r="O73" s="1035"/>
    </row>
    <row r="74" spans="1:19">
      <c r="A74" s="636" t="s">
        <v>295</v>
      </c>
      <c r="B74" s="424">
        <v>3</v>
      </c>
      <c r="C74" s="430">
        <v>0.9</v>
      </c>
      <c r="D74" s="425">
        <f>$C$70*C74</f>
        <v>43040.7</v>
      </c>
      <c r="E74" s="426">
        <f>ROUNDDOWN(D74*0.3/12,0)</f>
        <v>1076</v>
      </c>
      <c r="F74" s="455">
        <f>IF($D$51=1, H50, H50)*-1</f>
        <v>-52</v>
      </c>
      <c r="G74" s="426">
        <f>E74+F74</f>
        <v>1024</v>
      </c>
      <c r="H74" s="1111">
        <f t="shared" ref="H74:H75" si="0">B18-H58-H66-H82</f>
        <v>33</v>
      </c>
      <c r="I74" s="433">
        <f>G74*H74*12</f>
        <v>405504</v>
      </c>
      <c r="K74"/>
      <c r="L74"/>
      <c r="N74" s="90">
        <f>H74/$B18</f>
        <v>0.66</v>
      </c>
      <c r="O74" s="1035"/>
    </row>
    <row r="75" spans="1:19">
      <c r="A75" s="636" t="s">
        <v>297</v>
      </c>
      <c r="B75" s="424">
        <v>4.5</v>
      </c>
      <c r="C75" s="430">
        <v>1.04</v>
      </c>
      <c r="D75" s="425">
        <f>$C$70*C75</f>
        <v>49735.919999999991</v>
      </c>
      <c r="E75" s="426">
        <f>ROUNDDOWN(D75*0.3/12,0)</f>
        <v>1243</v>
      </c>
      <c r="F75" s="455">
        <f>IF($D$51=1, H51, H51)*-1</f>
        <v>-62</v>
      </c>
      <c r="G75" s="426">
        <f>E75+F75</f>
        <v>1181</v>
      </c>
      <c r="H75" s="1111">
        <f t="shared" si="0"/>
        <v>7</v>
      </c>
      <c r="I75" s="433">
        <f>G75*H75*12</f>
        <v>99204</v>
      </c>
      <c r="K75"/>
      <c r="L75"/>
      <c r="N75" s="90">
        <f>H75/$B19</f>
        <v>0.46666666666666667</v>
      </c>
      <c r="O75" s="1035"/>
    </row>
    <row r="76" spans="1:19" ht="17.25">
      <c r="A76" s="636" t="s">
        <v>351</v>
      </c>
      <c r="B76" s="106">
        <v>6</v>
      </c>
      <c r="C76" s="430">
        <v>1.1599999999999999</v>
      </c>
      <c r="D76" s="425">
        <f>$C$70*C76</f>
        <v>55474.679999999986</v>
      </c>
      <c r="E76" s="426">
        <f>ROUNDDOWN(D76*0.3/12,0)</f>
        <v>1386</v>
      </c>
      <c r="F76" s="455">
        <f>IF($D$51=1, H52, H52)*-1</f>
        <v>-65</v>
      </c>
      <c r="G76" s="426">
        <f>E76+F76</f>
        <v>1321</v>
      </c>
      <c r="H76" s="1111">
        <f>B20-H60-H68</f>
        <v>0</v>
      </c>
      <c r="I76" s="505">
        <f>G76*H76*12</f>
        <v>0</v>
      </c>
      <c r="J76" s="106"/>
      <c r="K76"/>
      <c r="L76"/>
      <c r="O76" s="1035"/>
    </row>
    <row r="77" spans="1:19">
      <c r="A77" s="525"/>
      <c r="B77" s="415"/>
      <c r="C77" s="415"/>
      <c r="D77" s="415"/>
      <c r="E77" s="70"/>
      <c r="F77" s="415"/>
      <c r="G77" s="415"/>
      <c r="H77" s="527">
        <f>SUM(H72:H76)</f>
        <v>59</v>
      </c>
      <c r="I77" s="502">
        <f>SUM(I72:I76)</f>
        <v>697596</v>
      </c>
      <c r="J77" s="1119"/>
      <c r="K77" s="692"/>
      <c r="L77" s="1120">
        <f>H77/H94</f>
        <v>0.59595959595959591</v>
      </c>
      <c r="O77" s="1034"/>
    </row>
    <row r="78" spans="1:19" ht="15.75">
      <c r="A78" s="1140" t="s">
        <v>482</v>
      </c>
      <c r="B78" s="1141"/>
      <c r="C78" s="1142">
        <v>450</v>
      </c>
      <c r="D78" s="1153" t="s">
        <v>465</v>
      </c>
      <c r="E78" s="601"/>
      <c r="F78" s="1024"/>
      <c r="G78" s="630"/>
      <c r="H78" s="980"/>
      <c r="I78" s="435"/>
      <c r="J78" s="106"/>
      <c r="K78" s="766"/>
      <c r="L78"/>
    </row>
    <row r="79" spans="1:19" ht="30">
      <c r="A79" s="635" t="s">
        <v>307</v>
      </c>
      <c r="B79" s="636" t="s">
        <v>298</v>
      </c>
      <c r="C79" s="1143" t="s">
        <v>299</v>
      </c>
      <c r="D79" s="598"/>
      <c r="E79" s="1144"/>
      <c r="F79" s="1145"/>
      <c r="G79" s="519" t="s">
        <v>3</v>
      </c>
      <c r="H79" s="519" t="s">
        <v>304</v>
      </c>
      <c r="I79" s="1150" t="s">
        <v>305</v>
      </c>
      <c r="K79"/>
      <c r="L79"/>
    </row>
    <row r="80" spans="1:19">
      <c r="A80" s="636" t="s">
        <v>291</v>
      </c>
      <c r="B80" s="636">
        <v>1</v>
      </c>
      <c r="C80" s="1146">
        <v>0.7</v>
      </c>
      <c r="D80" s="1069"/>
      <c r="E80" s="1147"/>
      <c r="F80" s="1148"/>
      <c r="G80" s="1147">
        <f t="shared" ref="G80:G84" si="1">C80*$C$78</f>
        <v>315</v>
      </c>
      <c r="H80" s="516">
        <v>0</v>
      </c>
      <c r="I80" s="1151">
        <f>G80*H80*12</f>
        <v>0</v>
      </c>
      <c r="K80"/>
      <c r="L80"/>
    </row>
    <row r="81" spans="1:14">
      <c r="A81" s="636" t="s">
        <v>293</v>
      </c>
      <c r="B81" s="636">
        <v>1.5</v>
      </c>
      <c r="C81" s="1146">
        <v>0.75</v>
      </c>
      <c r="D81" s="1069"/>
      <c r="E81" s="1147"/>
      <c r="F81" s="1148"/>
      <c r="G81" s="1147">
        <f t="shared" si="1"/>
        <v>337.5</v>
      </c>
      <c r="H81" s="516">
        <v>7</v>
      </c>
      <c r="I81" s="1151">
        <f>G81*H81*12</f>
        <v>28350</v>
      </c>
      <c r="K81"/>
      <c r="L81"/>
      <c r="N81" s="90">
        <f>H81/B17</f>
        <v>0.20588235294117646</v>
      </c>
    </row>
    <row r="82" spans="1:14">
      <c r="A82" s="636" t="s">
        <v>295</v>
      </c>
      <c r="B82" s="636">
        <v>3</v>
      </c>
      <c r="C82" s="1146">
        <v>0.9</v>
      </c>
      <c r="D82" s="1069"/>
      <c r="E82" s="1147"/>
      <c r="F82" s="1148"/>
      <c r="G82" s="1147">
        <f>C82*$C$78</f>
        <v>405</v>
      </c>
      <c r="H82" s="516">
        <v>9</v>
      </c>
      <c r="I82" s="1151">
        <f>G82*H82*12</f>
        <v>43740</v>
      </c>
      <c r="K82"/>
      <c r="L82"/>
      <c r="N82" s="90">
        <f>H82/B18</f>
        <v>0.18</v>
      </c>
    </row>
    <row r="83" spans="1:14">
      <c r="A83" s="636" t="s">
        <v>297</v>
      </c>
      <c r="B83" s="636">
        <v>4.5</v>
      </c>
      <c r="C83" s="1146">
        <v>1.04</v>
      </c>
      <c r="D83" s="1069"/>
      <c r="E83" s="1147"/>
      <c r="F83" s="1148"/>
      <c r="G83" s="1147">
        <f t="shared" si="1"/>
        <v>468</v>
      </c>
      <c r="H83" s="516">
        <v>4</v>
      </c>
      <c r="I83" s="1151">
        <f>G83*H83*12</f>
        <v>22464</v>
      </c>
      <c r="K83"/>
      <c r="L83"/>
      <c r="N83" s="90">
        <f>H83/B19</f>
        <v>0.26666666666666666</v>
      </c>
    </row>
    <row r="84" spans="1:14" ht="17.25">
      <c r="A84" s="636" t="s">
        <v>351</v>
      </c>
      <c r="B84" s="635">
        <v>6</v>
      </c>
      <c r="C84" s="1146">
        <v>1.1599999999999999</v>
      </c>
      <c r="D84" s="1069"/>
      <c r="E84" s="1147"/>
      <c r="F84" s="1148"/>
      <c r="G84" s="1147">
        <f t="shared" si="1"/>
        <v>522</v>
      </c>
      <c r="H84" s="518">
        <v>0</v>
      </c>
      <c r="I84" s="505">
        <f>G84*H84*12</f>
        <v>0</v>
      </c>
      <c r="K84"/>
      <c r="L84"/>
      <c r="N84" s="90"/>
    </row>
    <row r="85" spans="1:14" ht="15.75">
      <c r="A85" s="636"/>
      <c r="B85" s="636"/>
      <c r="C85" s="1146"/>
      <c r="D85" s="584"/>
      <c r="E85" s="525"/>
      <c r="F85" s="1149"/>
      <c r="G85" s="525"/>
      <c r="H85" s="527">
        <f>SUM(H80:H84)</f>
        <v>20</v>
      </c>
      <c r="I85" s="1152">
        <f>SUM(I80:I84)</f>
        <v>94554</v>
      </c>
      <c r="J85" s="1119"/>
      <c r="K85" s="692"/>
      <c r="L85" s="90">
        <f>H85/H94</f>
        <v>0.20202020202020202</v>
      </c>
    </row>
    <row r="86" spans="1:14" ht="15.75" hidden="1">
      <c r="A86" s="614" t="s">
        <v>377</v>
      </c>
      <c r="B86" s="729"/>
      <c r="C86" s="730"/>
      <c r="D86" s="731" t="s">
        <v>397</v>
      </c>
      <c r="E86" s="615"/>
      <c r="F86" s="616"/>
      <c r="G86" s="616"/>
      <c r="H86" s="616"/>
      <c r="I86" s="736"/>
      <c r="K86"/>
      <c r="L86"/>
    </row>
    <row r="87" spans="1:14" ht="30" hidden="1">
      <c r="A87" s="106" t="s">
        <v>307</v>
      </c>
      <c r="B87" s="424"/>
      <c r="C87" s="429"/>
      <c r="D87" s="43"/>
      <c r="E87" s="423"/>
      <c r="F87" s="422"/>
      <c r="G87" s="422" t="s">
        <v>3</v>
      </c>
      <c r="H87" s="422" t="s">
        <v>304</v>
      </c>
      <c r="I87" s="431" t="s">
        <v>305</v>
      </c>
      <c r="K87"/>
      <c r="L87"/>
    </row>
    <row r="88" spans="1:14" hidden="1">
      <c r="A88" s="424" t="s">
        <v>291</v>
      </c>
      <c r="B88" s="465"/>
      <c r="C88" s="466"/>
      <c r="D88" s="467"/>
      <c r="E88" s="468"/>
      <c r="F88" s="468"/>
      <c r="G88" s="733">
        <v>1223</v>
      </c>
      <c r="H88" s="445">
        <v>0</v>
      </c>
      <c r="I88" s="433">
        <f>H88*12*G88</f>
        <v>0</v>
      </c>
      <c r="K88"/>
      <c r="L88"/>
    </row>
    <row r="89" spans="1:14" hidden="1">
      <c r="A89" s="424" t="s">
        <v>293</v>
      </c>
      <c r="B89" s="465"/>
      <c r="C89" s="466"/>
      <c r="D89" s="467"/>
      <c r="E89" s="468"/>
      <c r="F89" s="468"/>
      <c r="G89" s="733">
        <v>1278</v>
      </c>
      <c r="H89" s="445">
        <v>0</v>
      </c>
      <c r="I89" s="433">
        <f>H89*12*G89</f>
        <v>0</v>
      </c>
      <c r="K89"/>
      <c r="L89"/>
    </row>
    <row r="90" spans="1:14" hidden="1">
      <c r="A90" s="424" t="s">
        <v>295</v>
      </c>
      <c r="B90" s="465"/>
      <c r="C90" s="466"/>
      <c r="D90" s="467"/>
      <c r="E90" s="468"/>
      <c r="F90" s="468"/>
      <c r="G90" s="733">
        <v>1524</v>
      </c>
      <c r="H90" s="733">
        <v>0</v>
      </c>
      <c r="I90" s="433">
        <f>H90*12*G90</f>
        <v>0</v>
      </c>
      <c r="J90" s="525"/>
      <c r="K90"/>
      <c r="L90"/>
    </row>
    <row r="91" spans="1:14" hidden="1">
      <c r="A91" s="424" t="s">
        <v>297</v>
      </c>
      <c r="B91" s="465"/>
      <c r="C91" s="466"/>
      <c r="D91" s="467"/>
      <c r="E91" s="468"/>
      <c r="F91" s="468"/>
      <c r="G91" s="737">
        <v>1960</v>
      </c>
      <c r="H91" s="445">
        <v>0</v>
      </c>
      <c r="I91" s="433">
        <f>H91*12*G91</f>
        <v>0</v>
      </c>
      <c r="K91"/>
      <c r="L91"/>
    </row>
    <row r="92" spans="1:14" ht="17.25" hidden="1">
      <c r="A92" s="424" t="s">
        <v>351</v>
      </c>
      <c r="B92" s="497"/>
      <c r="C92" s="466"/>
      <c r="D92" s="467"/>
      <c r="E92" s="468"/>
      <c r="F92" s="498"/>
      <c r="G92" s="388"/>
      <c r="H92" s="504"/>
      <c r="I92" s="505">
        <f>G92*H92*12</f>
        <v>0</v>
      </c>
      <c r="K92"/>
      <c r="L92"/>
    </row>
    <row r="93" spans="1:14" hidden="1">
      <c r="A93" s="424"/>
      <c r="B93" s="507"/>
      <c r="C93" s="430"/>
      <c r="D93" s="425"/>
      <c r="E93" s="508"/>
      <c r="F93" s="451"/>
      <c r="G93" s="451"/>
      <c r="H93" s="527">
        <f>SUM(H88:H92)</f>
        <v>0</v>
      </c>
      <c r="I93" s="502">
        <f>SUM(I88:I92)</f>
        <v>0</v>
      </c>
      <c r="K93"/>
      <c r="L93"/>
    </row>
    <row r="94" spans="1:14" ht="15.75">
      <c r="A94"/>
      <c r="B94"/>
      <c r="C94"/>
      <c r="D94" s="106"/>
      <c r="E94" s="43"/>
      <c r="F94" s="106"/>
      <c r="G94" s="499" t="s">
        <v>308</v>
      </c>
      <c r="H94" s="631">
        <f>SUM(H56:H60)+SUM(H64:H68)+SUM(H72:H76)+SUM(H80:H84)+SUM(H88:H92)</f>
        <v>99</v>
      </c>
      <c r="I94" s="435"/>
      <c r="J94" s="1089"/>
      <c r="K94" s="525"/>
    </row>
    <row r="95" spans="1:14" ht="15.75">
      <c r="A95" s="43"/>
      <c r="B95" s="106"/>
      <c r="C95" s="106"/>
      <c r="D95" s="106"/>
      <c r="E95" s="43"/>
      <c r="F95" s="106"/>
      <c r="G95" s="454"/>
      <c r="H95" s="106"/>
      <c r="I95" s="435"/>
      <c r="J95" s="106"/>
      <c r="K95"/>
      <c r="L95"/>
    </row>
    <row r="96" spans="1:14" ht="15.75">
      <c r="D96" s="43"/>
      <c r="E96" s="43"/>
      <c r="F96" s="43"/>
      <c r="G96" s="396"/>
      <c r="H96" s="397" t="s">
        <v>355</v>
      </c>
      <c r="I96" s="463">
        <f>SUM(I56:I60)+SUM(I64:I68)+SUM(I72:I76)+SUM(I80:I84)+SUM(I88:I92)</f>
        <v>834186</v>
      </c>
      <c r="K96"/>
      <c r="L96"/>
      <c r="M96" s="188"/>
      <c r="N96" s="188"/>
    </row>
    <row r="97" spans="1:19">
      <c r="A97" s="188"/>
      <c r="B97" s="188"/>
      <c r="C97" s="188"/>
      <c r="D97" s="188"/>
      <c r="E97" s="188"/>
      <c r="F97" s="188"/>
      <c r="G97" s="188"/>
      <c r="H97" s="1115"/>
      <c r="I97" s="1116"/>
      <c r="J97" s="1091"/>
      <c r="K97" s="598"/>
      <c r="L97"/>
      <c r="M97" s="188"/>
      <c r="N97" s="709"/>
      <c r="P97" s="449" t="e">
        <f>I97/M97/365</f>
        <v>#DIV/0!</v>
      </c>
      <c r="Q97" s="525" t="s">
        <v>460</v>
      </c>
    </row>
    <row r="98" spans="1:19" ht="15.75">
      <c r="A98" s="334"/>
      <c r="B98" s="334"/>
      <c r="C98" s="334"/>
      <c r="D98" s="334"/>
      <c r="E98" s="242"/>
      <c r="F98" s="216"/>
      <c r="G98" s="242"/>
      <c r="H98" s="432" t="s">
        <v>126</v>
      </c>
      <c r="I98" s="464">
        <f>I96+D43</f>
        <v>2241186</v>
      </c>
      <c r="K98"/>
      <c r="L98"/>
      <c r="M98" s="188"/>
      <c r="N98" s="188"/>
      <c r="O98" s="155"/>
      <c r="P98" s="155"/>
      <c r="Q98" s="179"/>
      <c r="R98" s="83"/>
      <c r="S98" s="341"/>
    </row>
    <row r="99" spans="1:19" ht="15.75">
      <c r="E99" s="188"/>
      <c r="F99" s="83"/>
      <c r="G99" s="188"/>
      <c r="H99" s="181"/>
      <c r="I99" s="500"/>
      <c r="K99"/>
      <c r="L99"/>
      <c r="M99" s="188"/>
      <c r="N99" s="188"/>
      <c r="O99" s="155"/>
      <c r="P99" s="155"/>
      <c r="Q99" s="179"/>
      <c r="R99" s="83"/>
      <c r="S99" s="341"/>
    </row>
    <row r="105" spans="1:19">
      <c r="G105" s="188"/>
      <c r="H105" s="144"/>
      <c r="I105" s="1103"/>
      <c r="J105" s="449"/>
      <c r="K105"/>
      <c r="L105"/>
      <c r="M105" s="709"/>
      <c r="N105" s="188"/>
      <c r="O105" s="155"/>
    </row>
    <row r="108" spans="1:19">
      <c r="H108" s="525"/>
      <c r="I108" s="1091"/>
      <c r="J108" s="1091"/>
      <c r="K108" s="1091"/>
    </row>
    <row r="109" spans="1:19">
      <c r="G109" s="525"/>
      <c r="H109" s="525"/>
      <c r="I109" s="1091"/>
      <c r="J109" s="1091"/>
      <c r="K109" s="1091"/>
    </row>
    <row r="110" spans="1:19">
      <c r="H110" s="525"/>
      <c r="I110" s="1091"/>
      <c r="K110" s="1104"/>
      <c r="N110" s="1104"/>
      <c r="O110" s="598"/>
    </row>
    <row r="113" spans="9:10">
      <c r="I113" s="1091"/>
      <c r="J113" s="1104"/>
    </row>
    <row r="114" spans="9:10">
      <c r="I114" s="525"/>
      <c r="J114" s="525"/>
    </row>
  </sheetData>
  <pageMargins left="0.75" right="0.5" top="0.5" bottom="0.5" header="0.5" footer="0.5"/>
  <pageSetup scale="55" firstPageNumber="209" orientation="portrait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74"/>
  <sheetViews>
    <sheetView defaultGridColor="0" colorId="22" zoomScale="64" zoomScaleNormal="64" workbookViewId="0">
      <selection activeCell="C16" sqref="C16"/>
    </sheetView>
  </sheetViews>
  <sheetFormatPr defaultColWidth="9.77734375" defaultRowHeight="15"/>
  <cols>
    <col min="1" max="1" width="33.5546875" style="160" customWidth="1"/>
    <col min="2" max="2" width="11.6640625" style="160" customWidth="1"/>
    <col min="3" max="3" width="14.21875" style="160" customWidth="1"/>
    <col min="4" max="4" width="9.5546875" style="160" customWidth="1"/>
    <col min="5" max="5" width="19.88671875" style="160" customWidth="1"/>
    <col min="6" max="6" width="12.6640625" style="917" customWidth="1"/>
    <col min="7" max="7" width="10.6640625" style="917" hidden="1" customWidth="1"/>
    <col min="8" max="8" width="11.33203125" style="917" customWidth="1"/>
    <col min="9" max="9" width="8.33203125" style="917" customWidth="1"/>
    <col min="10" max="16384" width="9.77734375" style="160"/>
  </cols>
  <sheetData>
    <row r="1" spans="1:13" ht="15.75">
      <c r="A1" s="69" t="str">
        <f>'Cons Int &amp; Neg Arb'!A1</f>
        <v>Homeless Development Model E- permanent</v>
      </c>
      <c r="B1" s="28"/>
      <c r="D1" s="31"/>
      <c r="E1" s="31"/>
      <c r="F1" s="914"/>
      <c r="G1" s="914"/>
      <c r="H1" s="914"/>
      <c r="I1" s="914"/>
    </row>
    <row r="2" spans="1:13" ht="16.5" thickBot="1">
      <c r="A2" s="69" t="str">
        <f>'Cons Int &amp; Neg Arb'!A2</f>
        <v>4% LIHTC, HPD/HDC ELLA, DHS</v>
      </c>
      <c r="B2" s="28"/>
      <c r="D2" s="31" t="str">
        <f>'Sources and Uses'!C2</f>
        <v>Units:</v>
      </c>
      <c r="E2" s="104">
        <f>'Units &amp; Income_rent'!B23</f>
        <v>100</v>
      </c>
      <c r="F2" s="914"/>
      <c r="G2" s="914"/>
      <c r="H2" s="914"/>
      <c r="I2" s="914"/>
    </row>
    <row r="3" spans="1:13" ht="15.75">
      <c r="A3" s="69"/>
      <c r="B3" s="593"/>
      <c r="C3" s="605"/>
      <c r="D3" s="1156"/>
      <c r="E3" s="1156"/>
      <c r="F3" s="915" t="s">
        <v>402</v>
      </c>
      <c r="G3" s="914"/>
      <c r="H3" s="914"/>
      <c r="I3" s="914"/>
    </row>
    <row r="4" spans="1:13" ht="16.5" thickBot="1">
      <c r="A4" s="69"/>
      <c r="B4" s="28"/>
      <c r="D4" s="1157">
        <v>100</v>
      </c>
      <c r="E4" s="1158" t="s">
        <v>454</v>
      </c>
      <c r="F4" s="916">
        <v>7.4284354389066434E-3</v>
      </c>
      <c r="G4" s="914">
        <f>F4*Expenses</f>
        <v>5446.5300523560218</v>
      </c>
      <c r="H4" s="914"/>
      <c r="I4" s="914"/>
      <c r="J4" s="28"/>
      <c r="K4" s="28"/>
    </row>
    <row r="5" spans="1:13" ht="15.75">
      <c r="A5" s="309" t="s">
        <v>130</v>
      </c>
      <c r="B5" s="28"/>
      <c r="C5" s="28"/>
      <c r="D5" s="1094">
        <v>100</v>
      </c>
      <c r="E5" s="1095" t="s">
        <v>455</v>
      </c>
      <c r="F5" s="914"/>
      <c r="G5" s="914"/>
      <c r="H5" s="914"/>
      <c r="I5" s="914"/>
      <c r="K5" s="28"/>
    </row>
    <row r="6" spans="1:13">
      <c r="A6" s="1043" t="s">
        <v>431</v>
      </c>
      <c r="B6" s="310"/>
      <c r="C6" s="310"/>
      <c r="D6" s="511">
        <f>'Units &amp; Income_rent'!D23</f>
        <v>381</v>
      </c>
      <c r="E6" s="382" t="s">
        <v>66</v>
      </c>
      <c r="F6" s="914"/>
      <c r="G6" s="914"/>
      <c r="H6" s="914"/>
      <c r="I6" s="914"/>
    </row>
    <row r="7" spans="1:13" ht="15.75" thickBot="1">
      <c r="A7" s="286"/>
      <c r="B7" s="286"/>
      <c r="C7" s="286"/>
      <c r="D7" s="286"/>
      <c r="E7" s="286"/>
    </row>
    <row r="8" spans="1:13" ht="16.5" thickTop="1">
      <c r="A8" s="316" t="s">
        <v>72</v>
      </c>
      <c r="B8" s="279"/>
      <c r="C8" s="317"/>
      <c r="D8" s="317" t="s">
        <v>65</v>
      </c>
      <c r="E8" s="298"/>
      <c r="F8" s="949"/>
      <c r="G8" s="950" t="s">
        <v>19</v>
      </c>
      <c r="H8" s="709"/>
      <c r="I8" s="709"/>
      <c r="J8" s="709"/>
      <c r="K8" s="709"/>
    </row>
    <row r="9" spans="1:13" s="525" customFormat="1">
      <c r="A9" s="682" t="s">
        <v>16</v>
      </c>
      <c r="B9" s="28"/>
      <c r="C9" s="608">
        <f>D9*$D$6</f>
        <v>28575</v>
      </c>
      <c r="D9" s="446">
        <v>75</v>
      </c>
      <c r="E9" s="297" t="s">
        <v>17</v>
      </c>
      <c r="F9" s="710"/>
      <c r="G9" s="950">
        <f>C9/$E$2</f>
        <v>285.75</v>
      </c>
      <c r="H9" s="709"/>
      <c r="I9" s="709"/>
      <c r="J9" s="709"/>
      <c r="K9" s="709"/>
    </row>
    <row r="10" spans="1:13" s="525" customFormat="1">
      <c r="A10" s="682" t="s">
        <v>18</v>
      </c>
      <c r="B10" s="28" t="s">
        <v>390</v>
      </c>
      <c r="C10" s="608">
        <f>D10*D6</f>
        <v>123825</v>
      </c>
      <c r="D10" s="446">
        <v>325</v>
      </c>
      <c r="E10" s="297" t="s">
        <v>17</v>
      </c>
      <c r="F10" s="710"/>
      <c r="G10" s="950">
        <f t="shared" ref="G10:G30" si="0">C10/$E$2</f>
        <v>1238.25</v>
      </c>
      <c r="H10" s="709"/>
      <c r="I10" s="709"/>
      <c r="J10" s="709"/>
      <c r="K10" s="709"/>
    </row>
    <row r="11" spans="1:13" s="525" customFormat="1">
      <c r="A11" s="682" t="s">
        <v>392</v>
      </c>
      <c r="B11" s="28"/>
      <c r="C11" s="608">
        <f>D11*$D$6</f>
        <v>62484</v>
      </c>
      <c r="D11" s="446">
        <v>164</v>
      </c>
      <c r="E11" s="297" t="s">
        <v>17</v>
      </c>
      <c r="F11" s="710"/>
      <c r="G11" s="950">
        <f t="shared" si="0"/>
        <v>624.84</v>
      </c>
      <c r="H11" s="709"/>
      <c r="I11" s="951"/>
      <c r="J11" s="709"/>
      <c r="K11" s="709"/>
    </row>
    <row r="12" spans="1:13" s="967" customFormat="1">
      <c r="A12" s="960" t="s">
        <v>67</v>
      </c>
      <c r="B12" s="961"/>
      <c r="C12" s="962">
        <f>D12*E2</f>
        <v>0</v>
      </c>
      <c r="D12" s="963">
        <v>0</v>
      </c>
      <c r="E12" s="964" t="s">
        <v>106</v>
      </c>
      <c r="F12" s="965"/>
      <c r="G12" s="950">
        <f t="shared" si="0"/>
        <v>0</v>
      </c>
      <c r="H12" s="966"/>
      <c r="I12" s="966"/>
      <c r="J12" s="966"/>
      <c r="K12" s="966"/>
    </row>
    <row r="13" spans="1:13" s="525" customFormat="1">
      <c r="A13" s="682" t="s">
        <v>309</v>
      </c>
      <c r="B13" s="28"/>
      <c r="C13" s="608">
        <f>D13*$E$2</f>
        <v>60000</v>
      </c>
      <c r="D13" s="446">
        <v>600</v>
      </c>
      <c r="E13" s="297" t="s">
        <v>19</v>
      </c>
      <c r="F13" s="710"/>
      <c r="G13" s="950">
        <f t="shared" si="0"/>
        <v>600</v>
      </c>
      <c r="H13" s="709"/>
      <c r="I13" s="709"/>
      <c r="J13" s="709"/>
      <c r="K13" s="709"/>
    </row>
    <row r="14" spans="1:13" s="630" customFormat="1">
      <c r="A14" s="762" t="s">
        <v>185</v>
      </c>
      <c r="B14" s="1124"/>
      <c r="C14" s="1125">
        <f>D14*99</f>
        <v>19800</v>
      </c>
      <c r="D14" s="1096">
        <v>200</v>
      </c>
      <c r="E14" s="758" t="s">
        <v>456</v>
      </c>
      <c r="F14" s="1126" t="s">
        <v>471</v>
      </c>
      <c r="G14" s="1127"/>
      <c r="H14" s="948"/>
      <c r="I14" s="948"/>
      <c r="J14" s="948"/>
      <c r="K14" s="948"/>
    </row>
    <row r="15" spans="1:13" s="630" customFormat="1">
      <c r="A15" s="682" t="s">
        <v>50</v>
      </c>
      <c r="B15" s="750"/>
      <c r="C15" s="608">
        <f>D15</f>
        <v>12000</v>
      </c>
      <c r="D15" s="446">
        <v>12000</v>
      </c>
      <c r="E15" s="542" t="s">
        <v>186</v>
      </c>
      <c r="F15" s="710"/>
      <c r="G15" s="950">
        <f t="shared" si="0"/>
        <v>120</v>
      </c>
      <c r="H15" s="709"/>
      <c r="I15" s="709"/>
      <c r="J15" s="709"/>
      <c r="K15" s="709"/>
      <c r="M15" s="768"/>
    </row>
    <row r="16" spans="1:13" s="967" customFormat="1">
      <c r="A16" s="960" t="s">
        <v>20</v>
      </c>
      <c r="B16" s="961"/>
      <c r="C16" s="962">
        <f>D16*$D$6</f>
        <v>0</v>
      </c>
      <c r="D16" s="963">
        <v>0</v>
      </c>
      <c r="E16" s="964" t="s">
        <v>17</v>
      </c>
      <c r="F16" s="959"/>
      <c r="G16" s="950">
        <f t="shared" si="0"/>
        <v>0</v>
      </c>
      <c r="H16" s="966"/>
      <c r="I16" s="966"/>
      <c r="J16" s="966"/>
      <c r="K16" s="966"/>
      <c r="L16" s="968"/>
    </row>
    <row r="17" spans="1:11" s="525" customFormat="1">
      <c r="A17" s="682" t="s">
        <v>21</v>
      </c>
      <c r="B17" s="204"/>
      <c r="C17" s="608">
        <f>D17*E2</f>
        <v>93000</v>
      </c>
      <c r="D17" s="446">
        <v>930</v>
      </c>
      <c r="E17" s="297" t="s">
        <v>19</v>
      </c>
      <c r="F17" s="710"/>
      <c r="G17" s="1092">
        <f t="shared" si="0"/>
        <v>930</v>
      </c>
      <c r="H17" s="709"/>
      <c r="I17" s="709"/>
      <c r="J17" s="709"/>
      <c r="K17" s="709"/>
    </row>
    <row r="18" spans="1:11" s="525" customFormat="1" hidden="1">
      <c r="A18" s="682" t="s">
        <v>22</v>
      </c>
      <c r="B18" s="972"/>
      <c r="C18" s="973"/>
      <c r="D18" s="446"/>
      <c r="E18" s="974"/>
      <c r="F18" s="710"/>
      <c r="G18" s="950">
        <f t="shared" si="0"/>
        <v>0</v>
      </c>
      <c r="H18" s="709"/>
      <c r="I18" s="709"/>
      <c r="J18" s="709"/>
      <c r="K18" s="709"/>
    </row>
    <row r="19" spans="1:11" s="525" customFormat="1" hidden="1">
      <c r="A19" s="683" t="s">
        <v>131</v>
      </c>
      <c r="B19" s="975">
        <f>166/296</f>
        <v>0.56081081081081086</v>
      </c>
      <c r="C19" s="976">
        <f>D19</f>
        <v>23160</v>
      </c>
      <c r="D19" s="446">
        <f>ROUND(85000*(E2/367),-1)</f>
        <v>23160</v>
      </c>
      <c r="E19" s="974" t="s">
        <v>373</v>
      </c>
      <c r="F19" s="710"/>
      <c r="G19" s="950">
        <f t="shared" si="0"/>
        <v>231.6</v>
      </c>
      <c r="H19" s="709"/>
      <c r="I19" s="709"/>
      <c r="J19" s="709"/>
      <c r="K19" s="709"/>
    </row>
    <row r="20" spans="1:11" s="525" customFormat="1" hidden="1">
      <c r="A20" s="683" t="s">
        <v>364</v>
      </c>
      <c r="B20" s="977">
        <v>1</v>
      </c>
      <c r="C20" s="976">
        <f>D20*B20</f>
        <v>38150</v>
      </c>
      <c r="D20" s="446">
        <f>ROUND((70000*2)*(E2/367),-1)</f>
        <v>38150</v>
      </c>
      <c r="E20" s="974" t="s">
        <v>373</v>
      </c>
      <c r="F20" s="710"/>
      <c r="G20" s="950">
        <f t="shared" si="0"/>
        <v>381.5</v>
      </c>
      <c r="H20" s="709"/>
      <c r="I20" s="709"/>
      <c r="J20" s="709"/>
      <c r="K20" s="709"/>
    </row>
    <row r="21" spans="1:11" s="525" customFormat="1" hidden="1">
      <c r="A21" s="683" t="s">
        <v>103</v>
      </c>
      <c r="B21" s="977">
        <v>2</v>
      </c>
      <c r="C21" s="976">
        <f>D21*B21</f>
        <v>109000</v>
      </c>
      <c r="D21" s="446">
        <f>ROUND((40000*5)*(E2/367),-1)</f>
        <v>54500</v>
      </c>
      <c r="E21" s="974" t="s">
        <v>373</v>
      </c>
      <c r="F21" s="710"/>
      <c r="G21" s="950">
        <f t="shared" si="0"/>
        <v>1090</v>
      </c>
      <c r="H21" s="709"/>
      <c r="I21" s="709"/>
      <c r="J21" s="709"/>
      <c r="K21" s="709"/>
    </row>
    <row r="22" spans="1:11" s="525" customFormat="1" hidden="1">
      <c r="A22" s="683"/>
      <c r="B22" s="387"/>
      <c r="D22" s="446"/>
      <c r="E22" s="542"/>
      <c r="F22" s="710"/>
      <c r="G22" s="950">
        <f t="shared" si="0"/>
        <v>0</v>
      </c>
      <c r="H22" s="709"/>
      <c r="I22" s="709"/>
      <c r="J22" s="709"/>
      <c r="K22" s="709"/>
    </row>
    <row r="23" spans="1:11" s="525" customFormat="1">
      <c r="A23" s="682" t="s">
        <v>23</v>
      </c>
      <c r="B23" s="345">
        <v>2</v>
      </c>
      <c r="C23" s="608">
        <f>D23*B23</f>
        <v>13200</v>
      </c>
      <c r="D23" s="446">
        <v>6600</v>
      </c>
      <c r="E23" s="542" t="s">
        <v>69</v>
      </c>
      <c r="F23" s="710"/>
      <c r="G23" s="950">
        <f t="shared" si="0"/>
        <v>132</v>
      </c>
      <c r="H23" s="709"/>
      <c r="I23" s="709"/>
      <c r="J23" s="709"/>
      <c r="K23" s="709"/>
    </row>
    <row r="24" spans="1:11" s="525" customFormat="1">
      <c r="A24" s="682" t="s">
        <v>24</v>
      </c>
      <c r="B24" s="28"/>
      <c r="C24" s="1088">
        <f>D24*'Units &amp; Income_rent'!I98</f>
        <v>134471.16</v>
      </c>
      <c r="D24" s="945">
        <v>0.06</v>
      </c>
      <c r="E24" s="542" t="s">
        <v>378</v>
      </c>
      <c r="F24" s="710"/>
      <c r="G24" s="1092">
        <f t="shared" si="0"/>
        <v>1344.7116000000001</v>
      </c>
      <c r="H24" s="709"/>
      <c r="I24" s="709"/>
      <c r="J24" s="709"/>
      <c r="K24" s="709"/>
    </row>
    <row r="25" spans="1:11" s="525" customFormat="1">
      <c r="A25" s="682" t="s">
        <v>25</v>
      </c>
      <c r="B25" s="205"/>
      <c r="C25" s="608">
        <f>D25*D6</f>
        <v>93345</v>
      </c>
      <c r="D25" s="446">
        <v>245</v>
      </c>
      <c r="E25" s="297" t="s">
        <v>17</v>
      </c>
      <c r="F25" s="710"/>
      <c r="G25" s="950">
        <f t="shared" si="0"/>
        <v>933.45</v>
      </c>
      <c r="H25" s="709"/>
      <c r="I25" s="584"/>
      <c r="J25" s="709"/>
      <c r="K25" s="709"/>
    </row>
    <row r="26" spans="1:11" s="525" customFormat="1">
      <c r="A26" s="682" t="s">
        <v>26</v>
      </c>
      <c r="B26" s="205"/>
      <c r="C26" s="608">
        <f>D26*E2</f>
        <v>60000</v>
      </c>
      <c r="D26" s="446">
        <v>600</v>
      </c>
      <c r="E26" s="542" t="s">
        <v>19</v>
      </c>
      <c r="F26" s="710"/>
      <c r="G26" s="950">
        <f t="shared" si="0"/>
        <v>600</v>
      </c>
      <c r="H26" s="709"/>
      <c r="I26" s="584"/>
      <c r="J26" s="988"/>
      <c r="K26" s="709"/>
    </row>
    <row r="27" spans="1:11" s="971" customFormat="1">
      <c r="A27" s="960" t="s">
        <v>365</v>
      </c>
      <c r="B27" s="1041"/>
      <c r="C27" s="962">
        <f>D27*$E$2</f>
        <v>0</v>
      </c>
      <c r="D27" s="963">
        <v>0</v>
      </c>
      <c r="E27" s="1042" t="s">
        <v>19</v>
      </c>
      <c r="F27" s="969"/>
      <c r="G27" s="950">
        <f t="shared" si="0"/>
        <v>0</v>
      </c>
      <c r="H27" s="970"/>
      <c r="I27" s="970"/>
      <c r="J27" s="970"/>
      <c r="K27" s="970"/>
    </row>
    <row r="28" spans="1:11" s="525" customFormat="1">
      <c r="A28" s="682" t="s">
        <v>366</v>
      </c>
      <c r="B28" s="205"/>
      <c r="C28" s="608">
        <f>D28*$E$2</f>
        <v>0</v>
      </c>
      <c r="D28" s="446">
        <v>0</v>
      </c>
      <c r="E28" s="297" t="s">
        <v>19</v>
      </c>
      <c r="F28" s="710"/>
      <c r="G28" s="950">
        <f t="shared" si="0"/>
        <v>0</v>
      </c>
      <c r="H28" s="709"/>
      <c r="I28" s="709"/>
      <c r="J28" s="709"/>
      <c r="K28" s="709"/>
    </row>
    <row r="29" spans="1:11" s="630" customFormat="1">
      <c r="A29" s="682" t="s">
        <v>432</v>
      </c>
      <c r="B29" s="28"/>
      <c r="C29" s="1025">
        <v>7500</v>
      </c>
      <c r="D29" s="978">
        <v>7.4999999999999997E-3</v>
      </c>
      <c r="E29" s="542" t="s">
        <v>378</v>
      </c>
      <c r="F29" s="710"/>
      <c r="G29" s="1093"/>
      <c r="H29" s="709"/>
      <c r="I29" s="709"/>
      <c r="J29" s="709"/>
      <c r="K29" s="709"/>
    </row>
    <row r="30" spans="1:11" s="525" customFormat="1">
      <c r="A30" s="682" t="s">
        <v>27</v>
      </c>
      <c r="B30" s="119"/>
      <c r="C30" s="608">
        <f>D30*$E$2</f>
        <v>25000</v>
      </c>
      <c r="D30" s="446">
        <v>250</v>
      </c>
      <c r="E30" s="297" t="s">
        <v>19</v>
      </c>
      <c r="F30" s="710"/>
      <c r="G30" s="950">
        <f t="shared" si="0"/>
        <v>250</v>
      </c>
      <c r="H30" s="709"/>
      <c r="I30" s="709"/>
      <c r="J30" s="709"/>
      <c r="K30" s="709"/>
    </row>
    <row r="31" spans="1:11" s="525" customFormat="1">
      <c r="A31" s="277" t="s">
        <v>28</v>
      </c>
      <c r="B31" s="28"/>
      <c r="C31" s="979">
        <f>SUM(C9:C17,C23:C30)</f>
        <v>733200.16</v>
      </c>
      <c r="E31" s="297" t="s">
        <v>1</v>
      </c>
      <c r="F31" s="950"/>
      <c r="G31" s="979">
        <f>SUM(G9:G17,G23:G30)</f>
        <v>7059.0016000000005</v>
      </c>
      <c r="H31" s="953"/>
      <c r="I31" s="953"/>
      <c r="J31" s="709"/>
      <c r="K31" s="709"/>
    </row>
    <row r="32" spans="1:11" ht="15.75">
      <c r="A32" s="274"/>
      <c r="D32" s="68">
        <f>C31/D6</f>
        <v>1924.4098687664043</v>
      </c>
      <c r="E32" s="131" t="s">
        <v>17</v>
      </c>
      <c r="F32" s="950"/>
      <c r="G32" s="950"/>
      <c r="H32" s="950"/>
      <c r="I32" s="954"/>
      <c r="J32" s="709"/>
      <c r="K32" s="709"/>
    </row>
    <row r="33" spans="1:11" ht="15.75">
      <c r="A33" s="314"/>
      <c r="B33" s="28"/>
      <c r="D33" s="68">
        <f>C31/E2</f>
        <v>7332.0016000000005</v>
      </c>
      <c r="E33" s="131" t="s">
        <v>19</v>
      </c>
      <c r="F33" s="709"/>
      <c r="G33" s="950"/>
      <c r="H33" s="709"/>
      <c r="I33" s="709"/>
      <c r="J33" s="709"/>
      <c r="K33" s="709"/>
    </row>
    <row r="34" spans="1:11">
      <c r="A34" s="314"/>
      <c r="B34" s="28"/>
      <c r="C34" s="29"/>
      <c r="D34" s="29"/>
      <c r="E34" s="297"/>
      <c r="F34" s="709"/>
      <c r="G34" s="709"/>
      <c r="H34" s="709"/>
      <c r="I34" s="709"/>
      <c r="J34" s="955"/>
      <c r="K34" s="709"/>
    </row>
    <row r="35" spans="1:11">
      <c r="A35" s="277" t="s">
        <v>29</v>
      </c>
      <c r="B35" s="346"/>
      <c r="C35" s="347">
        <v>0</v>
      </c>
      <c r="D35" s="525" t="s">
        <v>367</v>
      </c>
      <c r="E35" s="297"/>
      <c r="F35" s="710"/>
      <c r="G35" s="956"/>
      <c r="H35" s="952"/>
      <c r="I35" s="957"/>
      <c r="J35" s="709"/>
      <c r="K35" s="709"/>
    </row>
    <row r="36" spans="1:11">
      <c r="A36" s="277"/>
      <c r="B36" s="28"/>
      <c r="C36" s="29"/>
      <c r="D36" s="29"/>
      <c r="E36" s="297"/>
      <c r="F36" s="710"/>
      <c r="G36" s="956"/>
      <c r="H36" s="956"/>
      <c r="I36" s="709"/>
      <c r="J36" s="709"/>
      <c r="K36" s="709"/>
    </row>
    <row r="37" spans="1:11" ht="15.75">
      <c r="A37" s="313" t="s">
        <v>132</v>
      </c>
      <c r="B37" s="28"/>
      <c r="C37" s="68">
        <f>Expenses+C35</f>
        <v>733200.16</v>
      </c>
      <c r="D37" s="29"/>
      <c r="E37" s="297"/>
      <c r="F37" s="952"/>
      <c r="G37" s="708"/>
      <c r="H37" s="958"/>
      <c r="I37" s="709"/>
      <c r="J37" s="709"/>
      <c r="K37" s="709"/>
    </row>
    <row r="38" spans="1:11" ht="15.75">
      <c r="A38" s="315"/>
      <c r="B38" s="28"/>
      <c r="C38" s="182">
        <f>C37/E2</f>
        <v>7332.0016000000005</v>
      </c>
      <c r="D38" s="68"/>
      <c r="E38" s="131" t="s">
        <v>75</v>
      </c>
      <c r="F38" s="956"/>
      <c r="G38" s="710"/>
      <c r="H38" s="958"/>
      <c r="I38" s="709"/>
      <c r="J38" s="709"/>
      <c r="K38" s="709"/>
    </row>
    <row r="39" spans="1:11" ht="15.75">
      <c r="A39" s="278"/>
      <c r="B39" s="279"/>
      <c r="C39" s="311">
        <f>C37/D6</f>
        <v>1924.4098687664043</v>
      </c>
      <c r="D39" s="311"/>
      <c r="E39" s="312" t="s">
        <v>17</v>
      </c>
      <c r="F39" s="952"/>
      <c r="G39" s="710"/>
      <c r="H39" s="709"/>
      <c r="I39" s="709"/>
      <c r="J39" s="709"/>
      <c r="K39" s="709"/>
    </row>
    <row r="40" spans="1:11" ht="15.75">
      <c r="A40" s="28"/>
      <c r="B40" s="28"/>
      <c r="C40" s="68"/>
      <c r="D40" s="68"/>
      <c r="E40" s="69"/>
      <c r="F40" s="710"/>
      <c r="G40" s="710"/>
      <c r="H40" s="709"/>
      <c r="I40" s="709"/>
      <c r="J40" s="709"/>
      <c r="K40" s="709"/>
    </row>
    <row r="41" spans="1:11">
      <c r="A41" s="28"/>
      <c r="B41" s="28"/>
      <c r="C41" s="29"/>
      <c r="D41" s="29"/>
      <c r="E41" s="28"/>
      <c r="F41" s="710"/>
      <c r="G41" s="710"/>
      <c r="H41" s="709"/>
      <c r="I41" s="709"/>
      <c r="J41" s="709"/>
      <c r="K41" s="709"/>
    </row>
    <row r="42" spans="1:11">
      <c r="A42" s="207"/>
      <c r="B42" s="206"/>
      <c r="C42" s="28"/>
      <c r="D42" s="29"/>
      <c r="E42" s="28"/>
      <c r="F42" s="708"/>
      <c r="G42" s="708"/>
      <c r="H42" s="709"/>
      <c r="I42" s="709"/>
      <c r="J42" s="709"/>
      <c r="K42" s="709"/>
    </row>
    <row r="43" spans="1:11">
      <c r="F43" s="709"/>
      <c r="G43" s="709"/>
      <c r="H43" s="709"/>
      <c r="I43" s="709"/>
      <c r="J43" s="709"/>
      <c r="K43" s="709"/>
    </row>
    <row r="44" spans="1:11">
      <c r="C44" s="759">
        <f>C37/2</f>
        <v>366600.08</v>
      </c>
      <c r="D44" s="525" t="s">
        <v>399</v>
      </c>
      <c r="F44" s="525"/>
      <c r="G44" s="525"/>
      <c r="H44" s="525"/>
      <c r="I44" s="525"/>
      <c r="J44" s="525"/>
      <c r="K44" s="525"/>
    </row>
    <row r="50" spans="4:8">
      <c r="H50" s="942"/>
    </row>
    <row r="51" spans="4:8">
      <c r="D51" s="630"/>
    </row>
    <row r="52" spans="4:8">
      <c r="D52" s="630"/>
    </row>
    <row r="68" spans="4:4">
      <c r="D68" s="525"/>
    </row>
    <row r="74" spans="4:4">
      <c r="D74" s="160">
        <f>16060000</f>
        <v>16060000</v>
      </c>
    </row>
  </sheetData>
  <customSheetViews>
    <customSheetView guid="{560D4AFA-61E5-46C3-B0CD-D0EB3053A033}" scale="75" colorId="22" showPageBreaks="1" printArea="1" hiddenRows="1" hiddenColumns="1" showRuler="0" topLeftCell="A2">
      <selection activeCell="H26" sqref="H26"/>
      <pageMargins left="0.75" right="0.5" top="0.75" bottom="0.5" header="0.5" footer="0.5"/>
      <pageSetup scale="93" orientation="landscape" r:id="rId1"/>
      <headerFooter alignWithMargins="0"/>
    </customSheetView>
    <customSheetView guid="{1ECE83C7-A3CE-4F97-BFD3-498FF783C0D9}" scale="75" colorId="22" showPageBreaks="1" printArea="1" hiddenColumns="1" showRuler="0">
      <selection activeCell="H29" sqref="H29"/>
      <pageMargins left="0.75" right="0.5" top="0.75" bottom="0.5" header="0.5" footer="0.5"/>
      <pageSetup scale="93" orientation="landscape" r:id="rId2"/>
      <headerFooter alignWithMargins="0"/>
    </customSheetView>
    <customSheetView guid="{6EF643BE-69F3-424E-8A44-3890161370D4}" scale="75" colorId="22" showPageBreaks="1" fitToPage="1" printArea="1" hiddenColumns="1" showRuler="0" topLeftCell="A10">
      <selection activeCell="J28" sqref="J28"/>
      <pageMargins left="0.5" right="0.5" top="0.5" bottom="0.5" header="0.5" footer="0.5"/>
      <pageSetup orientation="landscape" r:id="rId3"/>
      <headerFooter alignWithMargins="0"/>
    </customSheetView>
    <customSheetView guid="{FBB4BF8E-8A9F-4E98-A6F9-5F9BF4C55C67}" scale="65" colorId="22" showPageBreaks="1" fitToPage="1" printArea="1" hiddenColumns="1" showRuler="0">
      <selection activeCell="J16" sqref="J16"/>
      <pageMargins left="0.5" right="0.5" top="0.5" bottom="0.5" header="0.5" footer="0.5"/>
      <pageSetup orientation="landscape" r:id="rId4"/>
      <headerFooter alignWithMargins="0"/>
    </customSheetView>
    <customSheetView guid="{EB776EFC-3589-4DB5-BEAF-1E83D9703F9E}" scale="65" colorId="22" fitToPage="1" hiddenColumns="1" showRuler="0" topLeftCell="A4">
      <selection activeCell="C19" sqref="C19"/>
      <pageMargins left="0.5" right="0.5" top="0.5" bottom="0.5" header="0.5" footer="0.5"/>
      <pageSetup orientation="landscape" r:id="rId5"/>
      <headerFooter alignWithMargins="0"/>
    </customSheetView>
    <customSheetView guid="{AEA5979F-5357-4ED6-A6CA-1BB80F5C7A74}" scale="75" colorId="22" showPageBreaks="1" fitToPage="1" printArea="1" hiddenColumns="1" showRuler="0">
      <selection activeCell="J28" sqref="J28"/>
      <pageMargins left="0.5" right="0.5" top="0.5" bottom="0.5" header="0.5" footer="0.5"/>
      <pageSetup orientation="landscape" r:id="rId6"/>
      <headerFooter alignWithMargins="0"/>
    </customSheetView>
    <customSheetView guid="{28F81D13-D146-4D67-8981-BA5D7A496326}" scale="75" colorId="22" showPageBreaks="1" fitToPage="1" printArea="1" hiddenColumns="1" showRuler="0" topLeftCell="A7">
      <selection activeCell="K9" sqref="K9"/>
      <pageMargins left="0.5" right="0.5" top="0.5" bottom="0.5" header="0.5" footer="0.5"/>
      <pageSetup orientation="landscape" r:id="rId7"/>
      <headerFooter alignWithMargins="0"/>
    </customSheetView>
    <customSheetView guid="{25C4E7E7-1006-4A2D-BC83-AEE4ADF8A914}" scale="75" colorId="22" showPageBreaks="1" printArea="1" hiddenRows="1" hiddenColumns="1" showRuler="0" topLeftCell="A17">
      <selection activeCell="G26" sqref="G26"/>
      <pageMargins left="0.75" right="0.5" top="0.75" bottom="0.5" header="0.5" footer="0.5"/>
      <pageSetup scale="93" orientation="landscape" r:id="rId8"/>
      <headerFooter alignWithMargins="0"/>
    </customSheetView>
  </customSheetViews>
  <phoneticPr fontId="0" type="noConversion"/>
  <printOptions horizontalCentered="1" verticalCentered="1"/>
  <pageMargins left="0.75" right="0.5" top="0.75" bottom="0.5" header="0.5" footer="0.5"/>
  <pageSetup scale="69" firstPageNumber="210" orientation="portrait" useFirstPageNumber="1" r:id="rId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1"/>
  <sheetViews>
    <sheetView zoomScale="60" zoomScaleNormal="75" workbookViewId="0"/>
  </sheetViews>
  <sheetFormatPr defaultRowHeight="15"/>
  <cols>
    <col min="1" max="1" width="24.109375" customWidth="1"/>
    <col min="2" max="2" width="9.33203125" customWidth="1"/>
    <col min="3" max="3" width="15.21875" style="123" customWidth="1"/>
    <col min="4" max="4" width="13.77734375" style="123" customWidth="1"/>
    <col min="5" max="5" width="13.6640625" style="123" customWidth="1"/>
    <col min="6" max="6" width="12.6640625" style="123" customWidth="1"/>
    <col min="7" max="7" width="15" style="123" customWidth="1"/>
    <col min="8" max="8" width="13.88671875" style="123" customWidth="1"/>
    <col min="9" max="9" width="13.5546875" style="123" bestFit="1" customWidth="1"/>
    <col min="10" max="10" width="13.6640625" style="123" customWidth="1"/>
    <col min="11" max="11" width="13.5546875" style="123" bestFit="1" customWidth="1"/>
    <col min="12" max="14" width="15.77734375" style="123" customWidth="1"/>
    <col min="15" max="17" width="15.77734375" customWidth="1"/>
    <col min="18" max="18" width="15" customWidth="1"/>
  </cols>
  <sheetData>
    <row r="1" spans="1:37" ht="15.75">
      <c r="A1" s="1" t="str">
        <f>'Units &amp; Income'!A1</f>
        <v>Homeless Development Model E- permanent</v>
      </c>
      <c r="M1" s="383"/>
      <c r="N1" s="383"/>
    </row>
    <row r="2" spans="1:37" ht="15.75">
      <c r="A2" s="1" t="str">
        <f>'Sources and Uses'!A2</f>
        <v>4% LIHTC, HPD/HDC ELLA, DHS</v>
      </c>
      <c r="F2" s="605"/>
      <c r="M2" s="383" t="str">
        <f>'Sources and Uses'!C2</f>
        <v>Units:</v>
      </c>
      <c r="N2" s="383">
        <f>'Units &amp; Income_rent'!B23</f>
        <v>100</v>
      </c>
    </row>
    <row r="3" spans="1:37" ht="15.75">
      <c r="A3" s="1"/>
    </row>
    <row r="4" spans="1:37" ht="15.75">
      <c r="A4" s="1"/>
    </row>
    <row r="5" spans="1:37" ht="15.75">
      <c r="A5" s="1"/>
    </row>
    <row r="6" spans="1:37" s="115" customFormat="1">
      <c r="B6" s="115" t="s">
        <v>170</v>
      </c>
      <c r="C6" s="128" t="s">
        <v>84</v>
      </c>
      <c r="D6" s="128" t="s">
        <v>85</v>
      </c>
      <c r="E6" s="128" t="s">
        <v>86</v>
      </c>
      <c r="F6" s="128" t="s">
        <v>87</v>
      </c>
      <c r="G6" s="128" t="s">
        <v>88</v>
      </c>
      <c r="H6" s="128" t="s">
        <v>89</v>
      </c>
      <c r="I6" s="128" t="s">
        <v>90</v>
      </c>
      <c r="J6" s="128" t="s">
        <v>91</v>
      </c>
      <c r="K6" s="128" t="s">
        <v>92</v>
      </c>
      <c r="L6" s="128" t="s">
        <v>93</v>
      </c>
      <c r="M6" s="128" t="s">
        <v>116</v>
      </c>
      <c r="N6" s="128" t="s">
        <v>117</v>
      </c>
      <c r="O6" s="128" t="s">
        <v>448</v>
      </c>
      <c r="P6" s="128" t="s">
        <v>449</v>
      </c>
      <c r="Q6" s="128" t="s">
        <v>450</v>
      </c>
    </row>
    <row r="7" spans="1:37" s="115" customFormat="1"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</row>
    <row r="8" spans="1:37" s="115" customFormat="1" ht="15.75">
      <c r="A8" s="127" t="s">
        <v>171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</row>
    <row r="9" spans="1:37">
      <c r="A9" s="115" t="s">
        <v>124</v>
      </c>
      <c r="B9" s="126">
        <v>0.02</v>
      </c>
      <c r="C9" s="123">
        <f>Mort!D11</f>
        <v>792476.7</v>
      </c>
      <c r="D9" s="123">
        <f>C9*(1+$B$9)</f>
        <v>808326.23399999994</v>
      </c>
      <c r="E9" s="123">
        <f>D9*(1+$B$9)</f>
        <v>824492.75867999997</v>
      </c>
      <c r="F9" s="123">
        <f t="shared" ref="F9:N9" si="0">E9*(1+$B$9)</f>
        <v>840982.61385359999</v>
      </c>
      <c r="G9" s="123">
        <f t="shared" si="0"/>
        <v>857802.26613067195</v>
      </c>
      <c r="H9" s="123">
        <f t="shared" si="0"/>
        <v>874958.31145328539</v>
      </c>
      <c r="I9" s="123">
        <f t="shared" si="0"/>
        <v>892457.47768235113</v>
      </c>
      <c r="J9" s="123">
        <f t="shared" si="0"/>
        <v>910306.62723599817</v>
      </c>
      <c r="K9" s="123">
        <f t="shared" si="0"/>
        <v>928512.75978071813</v>
      </c>
      <c r="L9" s="123">
        <f t="shared" si="0"/>
        <v>947083.01497633255</v>
      </c>
      <c r="M9" s="123">
        <f t="shared" si="0"/>
        <v>966024.67527585919</v>
      </c>
      <c r="N9" s="123">
        <f t="shared" si="0"/>
        <v>985345.16878137644</v>
      </c>
      <c r="O9" s="123">
        <f t="shared" ref="O9" si="1">N9*(1+$B$9)</f>
        <v>1005052.072157004</v>
      </c>
      <c r="P9" s="123">
        <f t="shared" ref="P9" si="2">O9*(1+$B$9)</f>
        <v>1025153.1136001442</v>
      </c>
      <c r="Q9" s="123">
        <f t="shared" ref="Q9" si="3">P9*(1+$B$9)</f>
        <v>1045656.1758721471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115" t="s">
        <v>108</v>
      </c>
      <c r="B10" s="126">
        <v>0</v>
      </c>
      <c r="C10" s="123">
        <f>Mort!D13+Mort!D17</f>
        <v>0</v>
      </c>
      <c r="D10" s="123">
        <f t="shared" ref="D10:N10" si="4">(C10*$B$10)+C10</f>
        <v>0</v>
      </c>
      <c r="E10" s="123">
        <f t="shared" si="4"/>
        <v>0</v>
      </c>
      <c r="F10" s="123">
        <f t="shared" si="4"/>
        <v>0</v>
      </c>
      <c r="G10" s="123">
        <f t="shared" si="4"/>
        <v>0</v>
      </c>
      <c r="H10" s="123">
        <f t="shared" si="4"/>
        <v>0</v>
      </c>
      <c r="I10" s="123">
        <f t="shared" si="4"/>
        <v>0</v>
      </c>
      <c r="J10" s="123">
        <f t="shared" si="4"/>
        <v>0</v>
      </c>
      <c r="K10" s="123">
        <f t="shared" si="4"/>
        <v>0</v>
      </c>
      <c r="L10" s="123">
        <f t="shared" si="4"/>
        <v>0</v>
      </c>
      <c r="M10" s="123">
        <f t="shared" si="4"/>
        <v>0</v>
      </c>
      <c r="N10" s="123">
        <f t="shared" si="4"/>
        <v>0</v>
      </c>
      <c r="O10" s="123">
        <f t="shared" ref="O10" si="5">(N10*$B$10)+N10</f>
        <v>0</v>
      </c>
      <c r="P10" s="123">
        <f t="shared" ref="P10" si="6">(O10*$B$10)+O10</f>
        <v>0</v>
      </c>
      <c r="Q10" s="123">
        <f t="shared" ref="Q10" si="7">(P10*$B$10)+P10</f>
        <v>0</v>
      </c>
    </row>
    <row r="11" spans="1:37">
      <c r="A11" s="115" t="s">
        <v>122</v>
      </c>
      <c r="B11" s="126">
        <v>0</v>
      </c>
      <c r="C11" s="123">
        <f>Mort!D14+Mort!D18</f>
        <v>0</v>
      </c>
      <c r="D11" s="123">
        <f>C11</f>
        <v>0</v>
      </c>
      <c r="E11" s="123">
        <f>D11*(1+B11)</f>
        <v>0</v>
      </c>
      <c r="F11" s="123">
        <f>E11</f>
        <v>0</v>
      </c>
      <c r="G11" s="123">
        <f>F11*(1+B11)</f>
        <v>0</v>
      </c>
      <c r="H11" s="123">
        <f>G11</f>
        <v>0</v>
      </c>
      <c r="I11" s="123">
        <f>H11*(1+B11)</f>
        <v>0</v>
      </c>
      <c r="J11" s="123">
        <f>I11</f>
        <v>0</v>
      </c>
      <c r="K11" s="123">
        <f>J11*(1+B11)</f>
        <v>0</v>
      </c>
      <c r="L11" s="123">
        <f>K11</f>
        <v>0</v>
      </c>
      <c r="M11" s="123">
        <f>L11*(1+B11)</f>
        <v>0</v>
      </c>
      <c r="N11" s="123">
        <f>M11</f>
        <v>0</v>
      </c>
      <c r="O11" s="123">
        <f t="shared" ref="O11:Q11" si="8">N11</f>
        <v>0</v>
      </c>
      <c r="P11" s="123">
        <f t="shared" si="8"/>
        <v>0</v>
      </c>
      <c r="Q11" s="123">
        <f t="shared" si="8"/>
        <v>0</v>
      </c>
      <c r="R11" s="32"/>
      <c r="S11" s="32"/>
      <c r="T11" s="32"/>
      <c r="U11" s="32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115" t="s">
        <v>156</v>
      </c>
      <c r="B12" s="126"/>
      <c r="C12" s="123">
        <f>Mort!D15+Mort!D19</f>
        <v>0</v>
      </c>
      <c r="D12" s="123">
        <f>C12</f>
        <v>0</v>
      </c>
      <c r="E12" s="123">
        <f>D12*(1+B12)</f>
        <v>0</v>
      </c>
      <c r="F12" s="123">
        <f>E12</f>
        <v>0</v>
      </c>
      <c r="G12" s="123">
        <f>F12*(1+B12)</f>
        <v>0</v>
      </c>
      <c r="H12" s="123">
        <f>G12</f>
        <v>0</v>
      </c>
      <c r="I12" s="123">
        <f>H12*(1+B12)</f>
        <v>0</v>
      </c>
      <c r="J12" s="123">
        <f>I12</f>
        <v>0</v>
      </c>
      <c r="K12" s="123">
        <f>J12*(1+B12)</f>
        <v>0</v>
      </c>
      <c r="L12" s="123">
        <f>K12</f>
        <v>0</v>
      </c>
      <c r="M12" s="123">
        <f>L12*(1+B12)</f>
        <v>0</v>
      </c>
      <c r="N12" s="123">
        <f>M12</f>
        <v>0</v>
      </c>
      <c r="O12" s="123">
        <f t="shared" ref="O12:Q12" si="9">N12</f>
        <v>0</v>
      </c>
      <c r="P12" s="123">
        <f t="shared" si="9"/>
        <v>0</v>
      </c>
      <c r="Q12" s="123">
        <f t="shared" si="9"/>
        <v>0</v>
      </c>
      <c r="R12" s="32"/>
      <c r="S12" s="32"/>
      <c r="T12" s="32"/>
      <c r="U12" s="32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115" t="s">
        <v>113</v>
      </c>
      <c r="B13" s="126">
        <v>0.02</v>
      </c>
      <c r="C13" s="123">
        <f>Mort!D21</f>
        <v>1336650</v>
      </c>
      <c r="D13" s="123">
        <f>C13+(C13*$B$13)</f>
        <v>1363383</v>
      </c>
      <c r="E13" s="123">
        <f t="shared" ref="E13:Q13" si="10">D13+(D13*$B$13)</f>
        <v>1390650.66</v>
      </c>
      <c r="F13" s="123">
        <f t="shared" si="10"/>
        <v>1418463.6731999998</v>
      </c>
      <c r="G13" s="123">
        <f t="shared" si="10"/>
        <v>1446832.9466639999</v>
      </c>
      <c r="H13" s="123">
        <f t="shared" si="10"/>
        <v>1475769.60559728</v>
      </c>
      <c r="I13" s="123">
        <f t="shared" si="10"/>
        <v>1505284.9977092256</v>
      </c>
      <c r="J13" s="123">
        <f t="shared" si="10"/>
        <v>1535390.6976634101</v>
      </c>
      <c r="K13" s="123">
        <f t="shared" si="10"/>
        <v>1566098.5116166782</v>
      </c>
      <c r="L13" s="123">
        <f t="shared" si="10"/>
        <v>1597420.4818490117</v>
      </c>
      <c r="M13" s="123">
        <f t="shared" si="10"/>
        <v>1629368.8914859919</v>
      </c>
      <c r="N13" s="123">
        <f t="shared" si="10"/>
        <v>1661956.2693157117</v>
      </c>
      <c r="O13" s="123">
        <f t="shared" si="10"/>
        <v>1695195.3947020259</v>
      </c>
      <c r="P13" s="123">
        <f t="shared" si="10"/>
        <v>1729099.3025960664</v>
      </c>
      <c r="Q13" s="123">
        <f t="shared" si="10"/>
        <v>1763681.2886479876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 s="30" customFormat="1" ht="15.75">
      <c r="A14" s="99" t="s">
        <v>94</v>
      </c>
      <c r="C14" s="82">
        <f t="shared" ref="C14:N14" si="11">SUM(C9:C13)</f>
        <v>2129126.7000000002</v>
      </c>
      <c r="D14" s="82">
        <f t="shared" si="11"/>
        <v>2171709.2340000002</v>
      </c>
      <c r="E14" s="82">
        <f t="shared" si="11"/>
        <v>2215143.4186800001</v>
      </c>
      <c r="F14" s="82">
        <f t="shared" si="11"/>
        <v>2259446.2870536</v>
      </c>
      <c r="G14" s="82">
        <f t="shared" si="11"/>
        <v>2304635.2127946718</v>
      </c>
      <c r="H14" s="82">
        <f t="shared" si="11"/>
        <v>2350727.9170505656</v>
      </c>
      <c r="I14" s="82">
        <f t="shared" si="11"/>
        <v>2397742.475391577</v>
      </c>
      <c r="J14" s="82">
        <f t="shared" si="11"/>
        <v>2445697.324899408</v>
      </c>
      <c r="K14" s="82">
        <f t="shared" si="11"/>
        <v>2494611.2713973965</v>
      </c>
      <c r="L14" s="82">
        <f t="shared" si="11"/>
        <v>2544503.4968253444</v>
      </c>
      <c r="M14" s="82">
        <f t="shared" si="11"/>
        <v>2595393.5667618513</v>
      </c>
      <c r="N14" s="82">
        <f t="shared" si="11"/>
        <v>2647301.4380970881</v>
      </c>
      <c r="O14" s="82">
        <f t="shared" ref="O14:Q14" si="12">SUM(O9:O13)</f>
        <v>2700247.4668590301</v>
      </c>
      <c r="P14" s="82">
        <f t="shared" si="12"/>
        <v>2754252.4161962103</v>
      </c>
      <c r="Q14" s="82">
        <f t="shared" si="12"/>
        <v>2809337.464520135</v>
      </c>
    </row>
    <row r="15" spans="1:37">
      <c r="A15" s="115"/>
      <c r="C15" s="1120"/>
      <c r="O15" s="123"/>
      <c r="P15" s="123"/>
      <c r="Q15" s="123"/>
    </row>
    <row r="16" spans="1:37" ht="15.75">
      <c r="A16" s="127" t="s">
        <v>172</v>
      </c>
      <c r="O16" s="123"/>
      <c r="P16" s="123"/>
      <c r="Q16" s="123"/>
    </row>
    <row r="17" spans="1:18">
      <c r="A17" s="115" t="s">
        <v>95</v>
      </c>
      <c r="B17" s="126">
        <v>0.03</v>
      </c>
      <c r="C17" s="123">
        <f>Mort!D26+Mort!D27</f>
        <v>708200.16</v>
      </c>
      <c r="D17" s="123">
        <f>C17*(1+$B$17)</f>
        <v>729446.16480000003</v>
      </c>
      <c r="E17" s="123">
        <f t="shared" ref="E17:N17" si="13">D17*(1+$B$17)</f>
        <v>751329.54974400008</v>
      </c>
      <c r="F17" s="123">
        <f t="shared" si="13"/>
        <v>773869.43623632006</v>
      </c>
      <c r="G17" s="123">
        <f t="shared" si="13"/>
        <v>797085.51932340965</v>
      </c>
      <c r="H17" s="123">
        <f t="shared" si="13"/>
        <v>820998.08490311191</v>
      </c>
      <c r="I17" s="123">
        <f t="shared" si="13"/>
        <v>845628.02745020529</v>
      </c>
      <c r="J17" s="123">
        <f t="shared" si="13"/>
        <v>870996.86827371153</v>
      </c>
      <c r="K17" s="123">
        <f t="shared" si="13"/>
        <v>897126.77432192292</v>
      </c>
      <c r="L17" s="123">
        <f t="shared" si="13"/>
        <v>924040.57755158062</v>
      </c>
      <c r="M17" s="123">
        <f t="shared" si="13"/>
        <v>951761.7948781281</v>
      </c>
      <c r="N17" s="123">
        <f t="shared" si="13"/>
        <v>980314.64872447192</v>
      </c>
      <c r="O17" s="123">
        <f t="shared" ref="O17" si="14">N17*(1+$B$17)</f>
        <v>1009724.0881862061</v>
      </c>
      <c r="P17" s="123">
        <f t="shared" ref="P17" si="15">O17*(1+$B$17)</f>
        <v>1040015.8108317923</v>
      </c>
      <c r="Q17" s="123">
        <f t="shared" ref="Q17" si="16">P17*(1+$B$17)</f>
        <v>1071216.2851567462</v>
      </c>
    </row>
    <row r="18" spans="1:18">
      <c r="A18" s="115" t="s">
        <v>96</v>
      </c>
      <c r="B18" s="126">
        <v>0</v>
      </c>
      <c r="C18" s="123">
        <f>Mort!D28</f>
        <v>25000</v>
      </c>
      <c r="D18" s="123">
        <f>C18</f>
        <v>25000</v>
      </c>
      <c r="E18" s="123">
        <f t="shared" ref="E18:N18" si="17">D18</f>
        <v>25000</v>
      </c>
      <c r="F18" s="123">
        <f t="shared" si="17"/>
        <v>25000</v>
      </c>
      <c r="G18" s="123">
        <f t="shared" si="17"/>
        <v>25000</v>
      </c>
      <c r="H18" s="123">
        <f t="shared" si="17"/>
        <v>25000</v>
      </c>
      <c r="I18" s="123">
        <f t="shared" si="17"/>
        <v>25000</v>
      </c>
      <c r="J18" s="123">
        <f t="shared" si="17"/>
        <v>25000</v>
      </c>
      <c r="K18" s="123">
        <f t="shared" si="17"/>
        <v>25000</v>
      </c>
      <c r="L18" s="123">
        <f t="shared" si="17"/>
        <v>25000</v>
      </c>
      <c r="M18" s="123">
        <f t="shared" si="17"/>
        <v>25000</v>
      </c>
      <c r="N18" s="123">
        <f t="shared" si="17"/>
        <v>25000</v>
      </c>
      <c r="O18" s="123">
        <f t="shared" ref="O18" si="18">N18</f>
        <v>25000</v>
      </c>
      <c r="P18" s="123">
        <f t="shared" ref="P18" si="19">O18</f>
        <v>25000</v>
      </c>
      <c r="Q18" s="123">
        <f t="shared" ref="Q18" si="20">P18</f>
        <v>25000</v>
      </c>
    </row>
    <row r="19" spans="1:18" s="30" customFormat="1" ht="15.75">
      <c r="A19" s="99" t="s">
        <v>30</v>
      </c>
      <c r="C19" s="82">
        <f t="shared" ref="C19:N19" si="21">SUM(C17:C18)</f>
        <v>733200.16</v>
      </c>
      <c r="D19" s="82">
        <f t="shared" si="21"/>
        <v>754446.16480000003</v>
      </c>
      <c r="E19" s="82">
        <f t="shared" si="21"/>
        <v>776329.54974400008</v>
      </c>
      <c r="F19" s="82">
        <f t="shared" si="21"/>
        <v>798869.43623632006</v>
      </c>
      <c r="G19" s="82">
        <f t="shared" si="21"/>
        <v>822085.51932340965</v>
      </c>
      <c r="H19" s="82">
        <f t="shared" si="21"/>
        <v>845998.08490311191</v>
      </c>
      <c r="I19" s="82">
        <f t="shared" si="21"/>
        <v>870628.02745020529</v>
      </c>
      <c r="J19" s="82">
        <f t="shared" si="21"/>
        <v>895996.86827371153</v>
      </c>
      <c r="K19" s="82">
        <f t="shared" si="21"/>
        <v>922126.77432192292</v>
      </c>
      <c r="L19" s="82">
        <f t="shared" si="21"/>
        <v>949040.57755158062</v>
      </c>
      <c r="M19" s="82">
        <f t="shared" si="21"/>
        <v>976761.7948781281</v>
      </c>
      <c r="N19" s="82">
        <f t="shared" si="21"/>
        <v>1005314.6487244719</v>
      </c>
      <c r="O19" s="82">
        <f t="shared" ref="O19:Q19" si="22">SUM(O17:O18)</f>
        <v>1034724.0881862061</v>
      </c>
      <c r="P19" s="82">
        <f t="shared" si="22"/>
        <v>1065015.8108317922</v>
      </c>
      <c r="Q19" s="82">
        <f t="shared" si="22"/>
        <v>1096216.2851567462</v>
      </c>
    </row>
    <row r="20" spans="1:18">
      <c r="A20" s="115"/>
      <c r="O20" s="123"/>
      <c r="P20" s="123"/>
      <c r="Q20" s="123"/>
    </row>
    <row r="21" spans="1:18" s="30" customFormat="1" ht="15.75">
      <c r="A21" s="127" t="s">
        <v>97</v>
      </c>
      <c r="C21" s="82">
        <f t="shared" ref="C21:N21" si="23">C14-C19</f>
        <v>1395926.54</v>
      </c>
      <c r="D21" s="82">
        <f t="shared" si="23"/>
        <v>1417263.0692000003</v>
      </c>
      <c r="E21" s="82">
        <f t="shared" si="23"/>
        <v>1438813.8689359999</v>
      </c>
      <c r="F21" s="82">
        <f t="shared" si="23"/>
        <v>1460576.8508172799</v>
      </c>
      <c r="G21" s="82">
        <f t="shared" si="23"/>
        <v>1482549.6934712622</v>
      </c>
      <c r="H21" s="82">
        <f t="shared" si="23"/>
        <v>1504729.8321474537</v>
      </c>
      <c r="I21" s="82">
        <f t="shared" si="23"/>
        <v>1527114.4479413717</v>
      </c>
      <c r="J21" s="82">
        <f t="shared" si="23"/>
        <v>1549700.4566256965</v>
      </c>
      <c r="K21" s="82">
        <f t="shared" si="23"/>
        <v>1572484.4970754734</v>
      </c>
      <c r="L21" s="82">
        <f t="shared" si="23"/>
        <v>1595462.9192737639</v>
      </c>
      <c r="M21" s="82">
        <f t="shared" si="23"/>
        <v>1618631.7718837233</v>
      </c>
      <c r="N21" s="82">
        <f t="shared" si="23"/>
        <v>1641986.7893726162</v>
      </c>
      <c r="O21" s="82">
        <f t="shared" ref="O21:Q21" si="24">O14-O19</f>
        <v>1665523.378672824</v>
      </c>
      <c r="P21" s="82">
        <f t="shared" si="24"/>
        <v>1689236.6053644181</v>
      </c>
      <c r="Q21" s="82">
        <f t="shared" si="24"/>
        <v>1713121.1793633888</v>
      </c>
    </row>
    <row r="22" spans="1:18" s="30" customFormat="1" ht="15.75">
      <c r="A22" s="127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1:18" s="43" customFormat="1">
      <c r="A23" s="99" t="s">
        <v>47</v>
      </c>
      <c r="C23" s="124">
        <f>Mort!L36</f>
        <v>1213849.1652173914</v>
      </c>
      <c r="D23" s="124">
        <f t="shared" ref="D23:N23" si="25">C23</f>
        <v>1213849.1652173914</v>
      </c>
      <c r="E23" s="124">
        <f t="shared" si="25"/>
        <v>1213849.1652173914</v>
      </c>
      <c r="F23" s="124">
        <f t="shared" si="25"/>
        <v>1213849.1652173914</v>
      </c>
      <c r="G23" s="124">
        <f t="shared" si="25"/>
        <v>1213849.1652173914</v>
      </c>
      <c r="H23" s="124">
        <f t="shared" si="25"/>
        <v>1213849.1652173914</v>
      </c>
      <c r="I23" s="124">
        <f t="shared" si="25"/>
        <v>1213849.1652173914</v>
      </c>
      <c r="J23" s="124">
        <f t="shared" si="25"/>
        <v>1213849.1652173914</v>
      </c>
      <c r="K23" s="124">
        <f t="shared" si="25"/>
        <v>1213849.1652173914</v>
      </c>
      <c r="L23" s="124">
        <f t="shared" si="25"/>
        <v>1213849.1652173914</v>
      </c>
      <c r="M23" s="124">
        <f t="shared" si="25"/>
        <v>1213849.1652173914</v>
      </c>
      <c r="N23" s="124">
        <f t="shared" si="25"/>
        <v>1213849.1652173914</v>
      </c>
      <c r="O23" s="124">
        <f t="shared" ref="O23" si="26">N23</f>
        <v>1213849.1652173914</v>
      </c>
      <c r="P23" s="124">
        <f t="shared" ref="P23" si="27">O23</f>
        <v>1213849.1652173914</v>
      </c>
      <c r="Q23" s="124">
        <f t="shared" ref="Q23" si="28">P23</f>
        <v>1213849.1652173914</v>
      </c>
    </row>
    <row r="24" spans="1:18" s="30" customFormat="1" ht="15.75">
      <c r="A24" s="127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1:18" s="30" customFormat="1" ht="15.75">
      <c r="A25" s="127" t="s">
        <v>98</v>
      </c>
      <c r="C25" s="82">
        <f t="shared" ref="C25:N25" si="29">C21-C23</f>
        <v>182077.37478260859</v>
      </c>
      <c r="D25" s="82">
        <f t="shared" si="29"/>
        <v>203413.90398260881</v>
      </c>
      <c r="E25" s="82">
        <f t="shared" si="29"/>
        <v>224964.70371860848</v>
      </c>
      <c r="F25" s="82">
        <f t="shared" si="29"/>
        <v>246727.68559988844</v>
      </c>
      <c r="G25" s="82">
        <f t="shared" si="29"/>
        <v>268700.52825387078</v>
      </c>
      <c r="H25" s="82">
        <f t="shared" si="29"/>
        <v>290880.66693006223</v>
      </c>
      <c r="I25" s="82">
        <f t="shared" si="29"/>
        <v>313265.28272398026</v>
      </c>
      <c r="J25" s="82">
        <f t="shared" si="29"/>
        <v>335851.29140830506</v>
      </c>
      <c r="K25" s="82">
        <f t="shared" si="29"/>
        <v>358635.33185808198</v>
      </c>
      <c r="L25" s="82">
        <f t="shared" si="29"/>
        <v>381613.75405637245</v>
      </c>
      <c r="M25" s="82">
        <f t="shared" si="29"/>
        <v>404782.60666633188</v>
      </c>
      <c r="N25" s="82">
        <f t="shared" si="29"/>
        <v>428137.62415522477</v>
      </c>
      <c r="O25" s="82">
        <f t="shared" ref="O25:Q25" si="30">O21-O23</f>
        <v>451674.21345543256</v>
      </c>
      <c r="P25" s="82">
        <f t="shared" si="30"/>
        <v>475387.44014702667</v>
      </c>
      <c r="Q25" s="82">
        <f t="shared" si="30"/>
        <v>499272.01414599735</v>
      </c>
    </row>
    <row r="26" spans="1:18" s="30" customFormat="1" ht="15.75">
      <c r="A26" s="127"/>
      <c r="C26" s="82"/>
      <c r="D26" s="628"/>
      <c r="E26" s="82"/>
      <c r="F26" s="82"/>
      <c r="G26" s="82"/>
      <c r="H26" s="82"/>
      <c r="I26" s="82"/>
      <c r="J26" s="82"/>
      <c r="K26" s="82"/>
      <c r="L26" s="82"/>
      <c r="M26" s="82"/>
      <c r="N26" s="82"/>
      <c r="R26" s="82"/>
    </row>
    <row r="27" spans="1:18" s="30" customFormat="1" ht="15.75">
      <c r="A27" s="127" t="s">
        <v>114</v>
      </c>
      <c r="C27" s="82">
        <f>SUM(C25:N25)</f>
        <v>3639050.7541359444</v>
      </c>
      <c r="D27" s="629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1:18" s="30" customFormat="1" ht="15.75">
      <c r="A28" s="127" t="s">
        <v>451</v>
      </c>
      <c r="C28" s="82">
        <f>SUM(C25:Q25)</f>
        <v>5065384.4218844008</v>
      </c>
      <c r="D28" s="629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1:18" s="694" customFormat="1" ht="15.75">
      <c r="A29" s="1062"/>
      <c r="B29" s="695"/>
      <c r="C29" s="1060"/>
      <c r="D29" s="695"/>
      <c r="E29" s="695"/>
      <c r="F29" s="695"/>
      <c r="G29" s="695"/>
      <c r="H29" s="695"/>
      <c r="I29" s="695"/>
      <c r="J29" s="695"/>
      <c r="K29" s="695"/>
      <c r="L29" s="695"/>
      <c r="M29" s="695"/>
      <c r="N29" s="695"/>
    </row>
    <row r="30" spans="1:18" s="693" customFormat="1" ht="15.75">
      <c r="A30" s="693" t="s">
        <v>391</v>
      </c>
      <c r="C30" s="1058"/>
      <c r="D30" s="1058" t="s">
        <v>435</v>
      </c>
      <c r="E30" s="696">
        <f t="shared" ref="E30:N30" si="31">E25-E29</f>
        <v>224964.70371860848</v>
      </c>
      <c r="F30" s="696">
        <f t="shared" si="31"/>
        <v>246727.68559988844</v>
      </c>
      <c r="G30" s="696">
        <f t="shared" si="31"/>
        <v>268700.52825387078</v>
      </c>
      <c r="H30" s="696">
        <f t="shared" si="31"/>
        <v>290880.66693006223</v>
      </c>
      <c r="I30" s="696">
        <f t="shared" si="31"/>
        <v>313265.28272398026</v>
      </c>
      <c r="J30" s="696">
        <f t="shared" si="31"/>
        <v>335851.29140830506</v>
      </c>
      <c r="K30" s="696">
        <f t="shared" si="31"/>
        <v>358635.33185808198</v>
      </c>
      <c r="L30" s="696">
        <f t="shared" si="31"/>
        <v>381613.75405637245</v>
      </c>
      <c r="M30" s="696">
        <f t="shared" si="31"/>
        <v>404782.60666633188</v>
      </c>
      <c r="N30" s="695">
        <f t="shared" si="31"/>
        <v>428137.62415522477</v>
      </c>
    </row>
    <row r="31" spans="1:18">
      <c r="C31" s="1059">
        <f>(C17+C23)/2</f>
        <v>961024.66260869568</v>
      </c>
      <c r="D31" s="1059" t="s">
        <v>398</v>
      </c>
    </row>
  </sheetData>
  <customSheetViews>
    <customSheetView guid="{560D4AFA-61E5-46C3-B0CD-D0EB3053A033}" scale="75" showPageBreaks="1" fitToPage="1" showRuler="0">
      <selection activeCell="C9" sqref="C9"/>
      <pageMargins left="0.75" right="0.5" top="0.75" bottom="0.5" header="0.5" footer="0.5"/>
      <pageSetup scale="51" orientation="landscape" r:id="rId1"/>
      <headerFooter alignWithMargins="0"/>
    </customSheetView>
    <customSheetView guid="{1ECE83C7-A3CE-4F97-BFD3-498FF783C0D9}" scale="75" showPageBreaks="1" fitToPage="1" showRuler="0">
      <selection activeCell="H29" sqref="H29"/>
      <pageMargins left="0.75" right="0.5" top="0.75" bottom="0.5" header="0.5" footer="0.5"/>
      <pageSetup scale="51" orientation="landscape" r:id="rId2"/>
      <headerFooter alignWithMargins="0"/>
    </customSheetView>
    <customSheetView guid="{6EF643BE-69F3-424E-8A44-3890161370D4}" fitToPage="1" showRuler="0" topLeftCell="J1">
      <selection activeCell="N4" sqref="N4"/>
      <pageMargins left="0.75" right="0.75" top="1" bottom="1" header="0.5" footer="0.5"/>
      <pageSetup scale="61" orientation="landscape" horizontalDpi="1200" verticalDpi="1200" r:id="rId3"/>
      <headerFooter alignWithMargins="0"/>
    </customSheetView>
    <customSheetView guid="{FBB4BF8E-8A9F-4E98-A6F9-5F9BF4C55C67}" showPageBreaks="1" fitToPage="1" showRuler="0" topLeftCell="A11">
      <pageMargins left="0.75" right="0.75" top="1" bottom="1" header="0.5" footer="0.5"/>
      <pageSetup scale="61" orientation="landscape" horizontalDpi="1200" verticalDpi="1200" r:id="rId4"/>
      <headerFooter alignWithMargins="0"/>
    </customSheetView>
    <customSheetView guid="{EB776EFC-3589-4DB5-BEAF-1E83D9703F9E}" fitToPage="1" showRuler="0" topLeftCell="A14">
      <selection activeCell="B28" sqref="B28"/>
      <pageMargins left="0.75" right="0.75" top="1" bottom="1" header="0.5" footer="0.5"/>
      <pageSetup scale="64" orientation="landscape" horizontalDpi="1200" verticalDpi="1200" r:id="rId5"/>
      <headerFooter alignWithMargins="0"/>
    </customSheetView>
    <customSheetView guid="{AEA5979F-5357-4ED6-A6CA-1BB80F5C7A74}" showPageBreaks="1" fitToPage="1" showRuler="0">
      <selection activeCell="A5" sqref="A5"/>
      <pageMargins left="0.75" right="0.75" top="1" bottom="1" header="0.5" footer="0.5"/>
      <pageSetup scale="61" orientation="landscape" horizontalDpi="1200" verticalDpi="1200" r:id="rId6"/>
      <headerFooter alignWithMargins="0"/>
    </customSheetView>
    <customSheetView guid="{28F81D13-D146-4D67-8981-BA5D7A496326}" showPageBreaks="1" fitToPage="1" showRuler="0" topLeftCell="K6">
      <selection activeCell="O6" sqref="O6"/>
      <pageMargins left="0.75" right="0.75" top="1" bottom="1" header="0.5" footer="0.5"/>
      <pageSetup scale="50" orientation="landscape" horizontalDpi="1200" verticalDpi="1200" r:id="rId7"/>
      <headerFooter alignWithMargins="0"/>
    </customSheetView>
    <customSheetView guid="{25C4E7E7-1006-4A2D-BC83-AEE4ADF8A914}" scale="75" showPageBreaks="1" fitToPage="1" showRuler="0" topLeftCell="A10">
      <selection activeCell="H29" sqref="H29"/>
      <pageMargins left="0.75" right="0.5" top="0.75" bottom="0.5" header="0.5" footer="0.5"/>
      <pageSetup scale="51" orientation="landscape" r:id="rId8"/>
      <headerFooter alignWithMargins="0"/>
    </customSheetView>
  </customSheetViews>
  <phoneticPr fontId="0" type="noConversion"/>
  <pageMargins left="0.75" right="0.5" top="0.75" bottom="0.5" header="0.5" footer="0.5"/>
  <pageSetup scale="51" firstPageNumber="212" orientation="landscape" useFirstPageNumber="1" r:id="rId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T50"/>
  <sheetViews>
    <sheetView defaultGridColor="0" colorId="22" zoomScale="75" zoomScaleNormal="75" workbookViewId="0">
      <selection activeCell="D20" sqref="D20"/>
    </sheetView>
  </sheetViews>
  <sheetFormatPr defaultColWidth="9.77734375" defaultRowHeight="15"/>
  <cols>
    <col min="1" max="1" width="29.6640625" customWidth="1"/>
    <col min="2" max="2" width="11.77734375" bestFit="1" customWidth="1"/>
    <col min="4" max="4" width="13.109375" customWidth="1"/>
    <col min="6" max="7" width="12.6640625" customWidth="1"/>
    <col min="8" max="8" width="20.88671875" customWidth="1"/>
    <col min="9" max="9" width="16.88671875" customWidth="1"/>
    <col min="10" max="10" width="15.6640625" customWidth="1"/>
    <col min="11" max="11" width="14.88671875" customWidth="1"/>
    <col min="12" max="12" width="12.6640625" customWidth="1"/>
    <col min="13" max="13" width="10.77734375" bestFit="1" customWidth="1"/>
    <col min="14" max="14" width="11" bestFit="1" customWidth="1"/>
  </cols>
  <sheetData>
    <row r="1" spans="1:16" ht="15.75">
      <c r="A1" s="1" t="s">
        <v>345</v>
      </c>
      <c r="E1" s="2"/>
      <c r="F1" s="46"/>
      <c r="G1" s="2"/>
      <c r="H1" s="2"/>
      <c r="I1" s="2"/>
      <c r="J1" s="2"/>
      <c r="K1" s="24"/>
      <c r="L1" s="24"/>
      <c r="M1" s="2"/>
      <c r="N1" s="2"/>
    </row>
    <row r="2" spans="1:16" ht="15.75">
      <c r="A2" s="1" t="str">
        <f>'M and O'!A2</f>
        <v>4% LIHTC, HPD/HDC ELLA, DHS</v>
      </c>
      <c r="B2" s="2"/>
      <c r="E2" s="605"/>
      <c r="F2" s="2"/>
      <c r="G2" s="2"/>
      <c r="H2" s="2"/>
      <c r="I2" s="2"/>
      <c r="J2" s="2"/>
      <c r="K2" s="24" t="str">
        <f>'Sources and Uses'!C2</f>
        <v>Units:</v>
      </c>
      <c r="L2" s="24">
        <f>'Units &amp; Income_rent'!B23</f>
        <v>100</v>
      </c>
      <c r="M2" s="560"/>
      <c r="N2" s="2"/>
    </row>
    <row r="3" spans="1:16" ht="15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>
      <c r="B4" s="2"/>
      <c r="C4" s="2"/>
      <c r="D4" s="2"/>
      <c r="E4" s="2"/>
      <c r="F4" s="101" t="s">
        <v>31</v>
      </c>
      <c r="G4" s="2"/>
      <c r="H4" s="4"/>
      <c r="I4" s="4"/>
      <c r="J4" s="4"/>
      <c r="K4" s="14"/>
      <c r="L4" s="2"/>
      <c r="M4" s="2"/>
      <c r="N4" s="2"/>
    </row>
    <row r="5" spans="1:16" ht="15.75">
      <c r="A5" s="30" t="s">
        <v>195</v>
      </c>
      <c r="B5" s="2"/>
      <c r="C5" s="2"/>
      <c r="D5" s="2"/>
      <c r="E5" s="2"/>
      <c r="F5" s="101" t="s">
        <v>161</v>
      </c>
      <c r="G5" s="2"/>
      <c r="H5" s="2"/>
      <c r="I5" s="2"/>
      <c r="J5" s="2"/>
      <c r="K5" s="4"/>
      <c r="L5" s="14"/>
      <c r="M5" s="14"/>
      <c r="N5" s="14"/>
    </row>
    <row r="6" spans="1:16" ht="16.5" thickBot="1">
      <c r="A6" s="282"/>
      <c r="B6" s="283"/>
      <c r="C6" s="283"/>
      <c r="D6" s="283"/>
      <c r="E6" s="281"/>
      <c r="F6" s="285"/>
      <c r="G6" s="285"/>
      <c r="H6" s="285"/>
      <c r="I6" s="285"/>
      <c r="J6" s="285"/>
      <c r="K6" s="286"/>
      <c r="L6" s="286"/>
      <c r="M6" s="4"/>
      <c r="N6" s="4"/>
    </row>
    <row r="7" spans="1:16" ht="16.5" thickTop="1">
      <c r="A7" s="35"/>
      <c r="B7" s="18"/>
      <c r="C7" s="18"/>
      <c r="D7" s="258"/>
      <c r="E7" s="292"/>
      <c r="F7" s="192" t="s">
        <v>196</v>
      </c>
      <c r="G7" s="192"/>
      <c r="H7" s="335"/>
      <c r="I7" s="390" t="s">
        <v>165</v>
      </c>
      <c r="J7" s="284"/>
      <c r="K7" s="141"/>
      <c r="L7" s="287"/>
      <c r="M7" s="2"/>
      <c r="N7" s="2"/>
    </row>
    <row r="8" spans="1:16" ht="15.75">
      <c r="A8" s="265" t="s">
        <v>162</v>
      </c>
      <c r="B8" s="16"/>
      <c r="C8" s="16"/>
      <c r="D8" s="13"/>
      <c r="E8" s="292"/>
      <c r="F8" s="188"/>
      <c r="G8" s="161"/>
      <c r="H8" s="324"/>
      <c r="I8" s="391"/>
      <c r="J8" s="141"/>
      <c r="K8" s="142" t="s">
        <v>230</v>
      </c>
      <c r="L8" s="288"/>
      <c r="M8" s="2"/>
      <c r="N8" s="2"/>
    </row>
    <row r="9" spans="1:16">
      <c r="A9" s="611" t="s">
        <v>376</v>
      </c>
      <c r="B9" s="689"/>
      <c r="C9" s="4"/>
      <c r="D9" s="264">
        <f>'Units &amp; Income_rent'!I96</f>
        <v>834186</v>
      </c>
      <c r="E9" s="27"/>
      <c r="F9" s="188" t="s">
        <v>197</v>
      </c>
      <c r="G9" s="161"/>
      <c r="H9" s="538">
        <v>2.8000000000000001E-2</v>
      </c>
      <c r="I9" s="391"/>
      <c r="J9" s="143" t="s">
        <v>203</v>
      </c>
      <c r="K9" s="538">
        <v>5.3999999999999999E-2</v>
      </c>
      <c r="L9" s="289"/>
      <c r="M9" s="2"/>
      <c r="N9" s="2"/>
    </row>
    <row r="10" spans="1:16">
      <c r="A10" s="319" t="s">
        <v>154</v>
      </c>
      <c r="B10" s="690">
        <v>0.05</v>
      </c>
      <c r="C10" s="9"/>
      <c r="D10" s="264">
        <f>B10*-D9</f>
        <v>-41709.300000000003</v>
      </c>
      <c r="E10" s="27"/>
      <c r="F10" s="291" t="s">
        <v>198</v>
      </c>
      <c r="G10" s="162"/>
      <c r="H10" s="538">
        <v>0.02</v>
      </c>
      <c r="I10" s="392"/>
      <c r="J10" s="143" t="s">
        <v>284</v>
      </c>
      <c r="K10" s="538">
        <v>2E-3</v>
      </c>
      <c r="L10" s="289"/>
      <c r="M10" s="2"/>
    </row>
    <row r="11" spans="1:16">
      <c r="A11" s="268" t="s">
        <v>32</v>
      </c>
      <c r="B11" s="687"/>
      <c r="C11" s="687"/>
      <c r="D11" s="688">
        <f>D9+D10</f>
        <v>792476.7</v>
      </c>
      <c r="E11" s="27"/>
      <c r="F11" s="188" t="s">
        <v>199</v>
      </c>
      <c r="G11" s="161"/>
      <c r="H11" s="539">
        <v>0.01</v>
      </c>
      <c r="I11" s="392"/>
      <c r="J11" s="144" t="s">
        <v>33</v>
      </c>
      <c r="K11" s="538">
        <v>5.0000000000000001E-3</v>
      </c>
      <c r="L11" s="289"/>
      <c r="M11" s="2"/>
    </row>
    <row r="12" spans="1:16">
      <c r="A12" s="269"/>
      <c r="B12" s="43"/>
      <c r="C12" s="43"/>
      <c r="D12" s="260"/>
      <c r="E12" s="27"/>
      <c r="F12" s="188" t="s">
        <v>200</v>
      </c>
      <c r="G12" s="161"/>
      <c r="H12" s="538">
        <v>2.0000000000000001E-4</v>
      </c>
      <c r="I12" s="392"/>
      <c r="J12" s="143" t="s">
        <v>34</v>
      </c>
      <c r="K12" s="599">
        <f>SUM(K9:K11)</f>
        <v>6.0999999999999999E-2</v>
      </c>
      <c r="L12" s="289"/>
      <c r="M12" s="2"/>
    </row>
    <row r="13" spans="1:16">
      <c r="A13" s="266" t="s">
        <v>108</v>
      </c>
      <c r="B13" s="21"/>
      <c r="C13" s="21"/>
      <c r="D13" s="13">
        <f>'Units &amp; Income'!D30</f>
        <v>0</v>
      </c>
      <c r="E13" s="27"/>
      <c r="F13" s="188" t="s">
        <v>201</v>
      </c>
      <c r="G13" s="161"/>
      <c r="H13" s="538">
        <v>1E-3</v>
      </c>
      <c r="I13" s="392"/>
      <c r="J13" s="145"/>
      <c r="K13" s="146"/>
      <c r="L13" s="290"/>
      <c r="M13" s="2"/>
      <c r="P13" s="160"/>
    </row>
    <row r="14" spans="1:16">
      <c r="A14" s="266" t="s">
        <v>155</v>
      </c>
      <c r="B14" s="21"/>
      <c r="C14" s="21"/>
      <c r="D14" s="13">
        <f>'Units &amp; Income'!D33</f>
        <v>0</v>
      </c>
      <c r="E14" s="27"/>
      <c r="F14" s="245" t="s">
        <v>202</v>
      </c>
      <c r="G14" s="170"/>
      <c r="H14" s="539">
        <v>2E-3</v>
      </c>
      <c r="I14" s="392"/>
      <c r="J14" s="140"/>
      <c r="K14" s="141"/>
      <c r="L14" s="290"/>
      <c r="M14" s="2"/>
    </row>
    <row r="15" spans="1:16">
      <c r="A15" s="266" t="s">
        <v>156</v>
      </c>
      <c r="B15" s="21"/>
      <c r="C15" s="21"/>
      <c r="D15" s="13">
        <f>'Units &amp; Income_rent'!D35</f>
        <v>0</v>
      </c>
      <c r="E15" s="27"/>
      <c r="F15" s="323"/>
      <c r="G15" s="120"/>
      <c r="H15" s="398">
        <f>SUM(H9:H14)</f>
        <v>6.1200000000000004E-2</v>
      </c>
      <c r="I15" s="393"/>
      <c r="J15" s="120"/>
      <c r="K15" s="320"/>
      <c r="L15" s="297"/>
      <c r="M15" s="2"/>
      <c r="N15" s="2"/>
    </row>
    <row r="16" spans="1:16">
      <c r="A16" s="266" t="s">
        <v>35</v>
      </c>
      <c r="B16" s="21"/>
      <c r="C16" s="21"/>
      <c r="D16" s="13">
        <f>'Units &amp; Income_rent'!LAUNDRY+'Units &amp; Income_rent'!D41</f>
        <v>1407000</v>
      </c>
      <c r="E16" s="17"/>
      <c r="F16" s="322"/>
      <c r="G16" s="208"/>
      <c r="H16" s="208"/>
      <c r="I16" s="394"/>
      <c r="J16" s="208"/>
      <c r="K16" s="208"/>
      <c r="L16" s="321"/>
      <c r="M16" s="2"/>
      <c r="N16" s="2"/>
      <c r="P16" s="160"/>
    </row>
    <row r="17" spans="1:20" ht="15.75" thickBot="1">
      <c r="A17" s="267" t="s">
        <v>157</v>
      </c>
      <c r="B17" s="306"/>
      <c r="C17" s="21"/>
      <c r="D17" s="13">
        <f>-(D13*B17)</f>
        <v>0</v>
      </c>
      <c r="E17" s="17"/>
      <c r="F17" s="285"/>
      <c r="G17" s="285"/>
      <c r="H17" s="285"/>
      <c r="I17" s="285"/>
      <c r="J17" s="285"/>
      <c r="K17" s="299"/>
      <c r="L17" s="300"/>
      <c r="M17" s="2"/>
      <c r="N17" s="2"/>
    </row>
    <row r="18" spans="1:20" ht="15.75" thickTop="1">
      <c r="A18" s="267" t="s">
        <v>159</v>
      </c>
      <c r="B18" s="305"/>
      <c r="C18" s="19"/>
      <c r="D18" s="13">
        <f>-(D14*B18)</f>
        <v>0</v>
      </c>
      <c r="E18" s="293"/>
      <c r="F18" s="17"/>
      <c r="H18" s="3"/>
      <c r="I18" s="325"/>
      <c r="J18" s="2"/>
      <c r="K18" s="2"/>
      <c r="L18" s="297"/>
    </row>
    <row r="19" spans="1:20">
      <c r="A19" s="270" t="s">
        <v>164</v>
      </c>
      <c r="B19" s="305">
        <v>0.1</v>
      </c>
      <c r="D19" s="13">
        <f>-(D15*B19)</f>
        <v>0</v>
      </c>
      <c r="E19" s="293"/>
      <c r="F19" s="17"/>
      <c r="H19" s="6"/>
      <c r="I19" s="326"/>
      <c r="J19" s="9"/>
      <c r="K19" s="4"/>
      <c r="L19" s="297"/>
    </row>
    <row r="20" spans="1:20">
      <c r="A20" s="267" t="s">
        <v>158</v>
      </c>
      <c r="B20" s="305">
        <v>0.05</v>
      </c>
      <c r="C20" s="43"/>
      <c r="D20" s="13">
        <f>-(D16*B20)</f>
        <v>-70350</v>
      </c>
      <c r="E20" s="293"/>
      <c r="F20" s="17"/>
      <c r="I20" s="327"/>
      <c r="J20" s="2"/>
      <c r="K20" s="2"/>
      <c r="L20" s="297"/>
    </row>
    <row r="21" spans="1:20">
      <c r="A21" s="271" t="s">
        <v>160</v>
      </c>
      <c r="B21" s="114"/>
      <c r="C21" s="114"/>
      <c r="D21" s="259">
        <f>SUM(D13:D20)</f>
        <v>1336650</v>
      </c>
      <c r="E21" s="293"/>
      <c r="F21" s="17"/>
      <c r="H21" s="662" t="s">
        <v>36</v>
      </c>
      <c r="I21" s="663">
        <f>FIRST</f>
        <v>15350000</v>
      </c>
      <c r="J21" s="664" t="s">
        <v>328</v>
      </c>
      <c r="K21" s="664"/>
      <c r="L21" s="542"/>
    </row>
    <row r="22" spans="1:20">
      <c r="A22" s="271"/>
      <c r="B22" s="114"/>
      <c r="C22" s="114"/>
      <c r="D22" s="259"/>
      <c r="E22" s="293"/>
      <c r="F22" s="17"/>
      <c r="H22" s="662" t="s">
        <v>286</v>
      </c>
      <c r="I22" s="326">
        <f>SECOND</f>
        <v>9710000</v>
      </c>
      <c r="J22" s="598"/>
      <c r="K22" s="598"/>
      <c r="L22" s="665"/>
    </row>
    <row r="23" spans="1:20" ht="15.75">
      <c r="A23" s="272" t="s">
        <v>163</v>
      </c>
      <c r="B23" s="113"/>
      <c r="C23" s="113"/>
      <c r="D23" s="510">
        <f>D11+D21</f>
        <v>2129126.7000000002</v>
      </c>
      <c r="E23" s="293"/>
      <c r="F23" s="17"/>
      <c r="G23" s="122"/>
      <c r="H23" s="662" t="s">
        <v>223</v>
      </c>
      <c r="I23" s="328">
        <f>J30</f>
        <v>0</v>
      </c>
      <c r="J23" s="664"/>
      <c r="K23" s="664"/>
      <c r="L23" s="542"/>
    </row>
    <row r="24" spans="1:20">
      <c r="A24" s="273"/>
      <c r="B24" s="21"/>
      <c r="C24" s="21"/>
      <c r="D24" s="13"/>
      <c r="E24" s="293"/>
      <c r="F24" s="17"/>
      <c r="H24" s="666" t="s">
        <v>224</v>
      </c>
      <c r="I24" s="328">
        <f>K30</f>
        <v>0</v>
      </c>
      <c r="J24" s="664"/>
      <c r="K24" s="664"/>
      <c r="L24" s="542"/>
    </row>
    <row r="25" spans="1:20" ht="15.75">
      <c r="A25" s="265" t="s">
        <v>357</v>
      </c>
      <c r="B25" s="21"/>
      <c r="C25" s="21"/>
      <c r="D25" s="13"/>
      <c r="E25" s="293"/>
      <c r="F25" s="64"/>
      <c r="G25" s="279"/>
      <c r="H25" s="667" t="s">
        <v>37</v>
      </c>
      <c r="I25" s="668">
        <f>I21+I22+I23+I24</f>
        <v>25060000</v>
      </c>
      <c r="J25" s="669"/>
      <c r="K25" s="669"/>
      <c r="L25" s="670"/>
    </row>
    <row r="26" spans="1:20" ht="15.75" thickBot="1">
      <c r="A26" s="266" t="s">
        <v>40</v>
      </c>
      <c r="B26" s="532">
        <f>D26/'M and O'!$D$5</f>
        <v>7082.0016000000005</v>
      </c>
      <c r="C26" s="20" t="s">
        <v>19</v>
      </c>
      <c r="D26" s="13">
        <f>('M and O'!D33-'M and O'!D30)*'M and O'!D5</f>
        <v>708200.16</v>
      </c>
      <c r="E26" s="293"/>
      <c r="F26" s="301"/>
      <c r="G26" s="302"/>
      <c r="H26" s="671"/>
      <c r="I26" s="671"/>
      <c r="J26" s="671"/>
      <c r="K26" s="671"/>
      <c r="L26" s="671"/>
    </row>
    <row r="27" spans="1:20" ht="15.75" thickTop="1">
      <c r="A27" s="266" t="s">
        <v>41</v>
      </c>
      <c r="B27" s="20">
        <f>D27/'M and O'!$D$5</f>
        <v>0</v>
      </c>
      <c r="C27" s="20" t="s">
        <v>19</v>
      </c>
      <c r="D27" s="13">
        <f>'M and O'!C35</f>
        <v>0</v>
      </c>
      <c r="E27" s="293"/>
      <c r="F27" s="2"/>
      <c r="G27" s="350"/>
      <c r="H27" s="672" t="s">
        <v>333</v>
      </c>
      <c r="I27" s="673" t="s">
        <v>324</v>
      </c>
      <c r="J27" s="673" t="s">
        <v>325</v>
      </c>
      <c r="K27" s="673" t="s">
        <v>326</v>
      </c>
      <c r="L27" s="674"/>
    </row>
    <row r="28" spans="1:20">
      <c r="A28" s="680" t="s">
        <v>43</v>
      </c>
      <c r="B28" s="592">
        <f>D28/'M and O'!$D$5</f>
        <v>250</v>
      </c>
      <c r="C28" s="626" t="s">
        <v>19</v>
      </c>
      <c r="D28" s="681">
        <f>'M and O'!D30*'M and O'!D5</f>
        <v>25000</v>
      </c>
      <c r="E28" s="654"/>
      <c r="H28" s="675"/>
      <c r="I28" s="676">
        <v>0.01</v>
      </c>
      <c r="J28" s="675">
        <v>0.01</v>
      </c>
      <c r="K28" s="598"/>
      <c r="L28" s="598"/>
    </row>
    <row r="29" spans="1:20" ht="15.75">
      <c r="A29" s="272" t="s">
        <v>30</v>
      </c>
      <c r="B29" s="7">
        <f>SUM(B26:B28)</f>
        <v>7332.0016000000005</v>
      </c>
      <c r="C29" s="15" t="s">
        <v>19</v>
      </c>
      <c r="D29" s="261">
        <f>SUM(D26:D28)</f>
        <v>733200.16</v>
      </c>
      <c r="E29" s="293"/>
      <c r="F29" s="277"/>
      <c r="G29" s="28"/>
      <c r="H29" s="674" t="s">
        <v>38</v>
      </c>
      <c r="I29" s="673" t="s">
        <v>39</v>
      </c>
      <c r="J29" s="677" t="s">
        <v>225</v>
      </c>
      <c r="K29" s="550" t="s">
        <v>226</v>
      </c>
      <c r="L29" s="674" t="s">
        <v>1</v>
      </c>
    </row>
    <row r="30" spans="1:20">
      <c r="A30" s="274"/>
      <c r="D30" s="262"/>
      <c r="F30" s="28"/>
      <c r="G30" s="28"/>
      <c r="H30" s="725">
        <f>ROUNDDOWN(-PV(H31/12,H32*12,H36/12,H34),-4)</f>
        <v>15350000</v>
      </c>
      <c r="I30" s="725">
        <f>ROUNDDOWN((I36*100),-4)</f>
        <v>9710000</v>
      </c>
      <c r="J30" s="720">
        <v>0</v>
      </c>
      <c r="K30" s="678">
        <v>0</v>
      </c>
      <c r="L30" s="679">
        <f>I30+H30+J30+K30</f>
        <v>25060000</v>
      </c>
      <c r="M30" s="141"/>
      <c r="N30" s="141"/>
      <c r="O30" s="141"/>
      <c r="P30" s="141"/>
      <c r="Q30" s="141"/>
      <c r="R30" s="141"/>
      <c r="S30" s="141"/>
      <c r="T30" s="141"/>
    </row>
    <row r="31" spans="1:20">
      <c r="A31" s="274"/>
      <c r="D31" s="262"/>
      <c r="E31" s="293"/>
      <c r="F31" s="160"/>
      <c r="G31" s="117" t="s">
        <v>150</v>
      </c>
      <c r="H31" s="1044">
        <f>K12</f>
        <v>6.0999999999999999E-2</v>
      </c>
      <c r="I31" s="675">
        <v>0.01</v>
      </c>
      <c r="J31" s="675">
        <v>0.01</v>
      </c>
      <c r="K31" s="675">
        <v>0</v>
      </c>
      <c r="L31" s="525"/>
      <c r="M31" s="392"/>
      <c r="N31" s="141"/>
      <c r="O31" s="141"/>
      <c r="P31" s="141"/>
      <c r="Q31" s="141"/>
      <c r="R31" s="141"/>
      <c r="S31" s="141"/>
      <c r="T31" s="141"/>
    </row>
    <row r="32" spans="1:20" ht="15.75">
      <c r="A32" s="265" t="s">
        <v>44</v>
      </c>
      <c r="B32" s="15"/>
      <c r="C32" s="15"/>
      <c r="D32" s="261">
        <f>D23-D29</f>
        <v>1395926.54</v>
      </c>
      <c r="E32" s="293"/>
      <c r="F32" s="28"/>
      <c r="G32" s="329" t="s">
        <v>42</v>
      </c>
      <c r="H32" s="330">
        <v>30</v>
      </c>
      <c r="I32" s="330">
        <v>30</v>
      </c>
      <c r="J32" s="331">
        <v>30</v>
      </c>
      <c r="K32" s="331">
        <v>30</v>
      </c>
      <c r="L32" s="29"/>
      <c r="M32" s="392"/>
      <c r="N32" s="141"/>
      <c r="O32" s="141"/>
      <c r="P32" s="141"/>
      <c r="Q32" s="141"/>
      <c r="R32" s="141"/>
      <c r="S32" s="141"/>
      <c r="T32" s="141"/>
    </row>
    <row r="33" spans="1:14">
      <c r="A33" s="274"/>
      <c r="D33" s="262"/>
      <c r="E33" s="293"/>
      <c r="F33" s="116" t="s">
        <v>169</v>
      </c>
      <c r="G33" s="116" t="s">
        <v>166</v>
      </c>
      <c r="H33" s="29">
        <f>H30-H34</f>
        <v>15350000</v>
      </c>
      <c r="I33" s="29">
        <v>0</v>
      </c>
      <c r="J33" s="29">
        <f>J30-J34</f>
        <v>0</v>
      </c>
      <c r="K33" s="29">
        <v>0</v>
      </c>
      <c r="L33" s="118"/>
      <c r="M33" s="365"/>
    </row>
    <row r="34" spans="1:14">
      <c r="A34" s="273"/>
      <c r="B34" s="16"/>
      <c r="C34" s="16"/>
      <c r="D34" s="13"/>
      <c r="E34" s="293"/>
      <c r="F34" s="28"/>
      <c r="G34" s="116" t="s">
        <v>45</v>
      </c>
      <c r="H34" s="29">
        <v>0</v>
      </c>
      <c r="I34" s="29">
        <f>SECOND</f>
        <v>9710000</v>
      </c>
      <c r="J34" s="29">
        <f>J30</f>
        <v>0</v>
      </c>
      <c r="K34" s="29">
        <v>0</v>
      </c>
      <c r="L34" s="118"/>
      <c r="M34" s="365"/>
    </row>
    <row r="35" spans="1:14">
      <c r="A35" s="273" t="s">
        <v>46</v>
      </c>
      <c r="B35" s="16"/>
      <c r="C35" s="16"/>
      <c r="D35" s="13">
        <f>(+D23/1.05)-(D29)</f>
        <v>1294539.5542857144</v>
      </c>
      <c r="E35" s="293"/>
      <c r="F35" s="160"/>
      <c r="G35" s="116" t="s">
        <v>167</v>
      </c>
      <c r="H35" s="119">
        <v>0</v>
      </c>
      <c r="I35" s="119">
        <v>1</v>
      </c>
      <c r="J35" s="119">
        <v>1</v>
      </c>
      <c r="K35" s="209">
        <v>0</v>
      </c>
      <c r="L35" s="160"/>
      <c r="M35" s="365"/>
    </row>
    <row r="36" spans="1:14">
      <c r="A36" s="480" t="s">
        <v>331</v>
      </c>
      <c r="B36" s="208"/>
      <c r="D36" s="262"/>
      <c r="E36" s="293"/>
      <c r="F36" s="120"/>
      <c r="G36" s="116" t="s">
        <v>47</v>
      </c>
      <c r="H36" s="187">
        <f>D40</f>
        <v>1116741.2320000001</v>
      </c>
      <c r="I36" s="187">
        <f>D37-H36</f>
        <v>97107.933217391372</v>
      </c>
      <c r="J36" s="187">
        <f>+J30*J28</f>
        <v>0</v>
      </c>
      <c r="K36" s="187">
        <f>K31*K30</f>
        <v>0</v>
      </c>
      <c r="L36" s="187">
        <f>SUM(H36:K36)</f>
        <v>1213849.1652173914</v>
      </c>
      <c r="M36" s="365"/>
    </row>
    <row r="37" spans="1:14">
      <c r="A37" s="292" t="s">
        <v>70</v>
      </c>
      <c r="B37" s="307">
        <v>1.1499999999999999</v>
      </c>
      <c r="D37" s="13">
        <f>NOI/B37</f>
        <v>1213849.1652173914</v>
      </c>
      <c r="E37" s="293"/>
      <c r="F37" s="294"/>
      <c r="G37" s="295" t="s">
        <v>168</v>
      </c>
      <c r="H37" s="296">
        <f>NOI/H36</f>
        <v>1.25</v>
      </c>
      <c r="I37" s="296">
        <f>NOI/(I36+H36)</f>
        <v>1.1499999999999999</v>
      </c>
      <c r="J37" s="296">
        <f>NOI/(J36+I36+H36)</f>
        <v>1.1499999999999999</v>
      </c>
      <c r="K37" s="296">
        <v>0</v>
      </c>
      <c r="L37" s="471">
        <f>NOI/L36</f>
        <v>1.1499999999999999</v>
      </c>
      <c r="M37" s="365"/>
      <c r="N37" s="469"/>
    </row>
    <row r="38" spans="1:14">
      <c r="A38" s="275" t="s">
        <v>79</v>
      </c>
      <c r="D38" s="263">
        <f>D23/(D29+D37)</f>
        <v>1.0935145157466823</v>
      </c>
      <c r="E38" s="293"/>
      <c r="G38" s="929" t="s">
        <v>402</v>
      </c>
      <c r="H38" s="924">
        <f>H36*'M and O'!$F$4</f>
        <v>8295.6401438770663</v>
      </c>
      <c r="I38" s="924">
        <f>I36*'M and O'!$F$4</f>
        <v>721.36001251104972</v>
      </c>
      <c r="J38" s="924">
        <f>SUM(H38:I38)</f>
        <v>9017.000156388116</v>
      </c>
      <c r="L38" s="2"/>
      <c r="M38" s="365"/>
    </row>
    <row r="39" spans="1:14">
      <c r="A39" s="481" t="s">
        <v>332</v>
      </c>
      <c r="B39" s="208"/>
      <c r="D39" s="262"/>
      <c r="E39" s="293"/>
      <c r="G39" s="930" t="s">
        <v>403</v>
      </c>
      <c r="H39" s="931">
        <f>H36-H38</f>
        <v>1108445.5918561229</v>
      </c>
      <c r="I39" s="931">
        <f>I36-I38</f>
        <v>96386.573204880318</v>
      </c>
      <c r="J39" s="924">
        <f>H39+I39</f>
        <v>1204832.1650610033</v>
      </c>
      <c r="L39" s="5"/>
      <c r="M39" s="472"/>
    </row>
    <row r="40" spans="1:14" ht="15.75">
      <c r="A40" s="292" t="s">
        <v>388</v>
      </c>
      <c r="B40" s="308">
        <v>1.25</v>
      </c>
      <c r="D40" s="13">
        <f>D32/B40</f>
        <v>1116741.2320000001</v>
      </c>
      <c r="E40" s="293"/>
      <c r="G40" s="303" t="s">
        <v>187</v>
      </c>
      <c r="H40" s="28"/>
      <c r="I40" s="118"/>
      <c r="J40" s="932"/>
      <c r="K40" s="29"/>
      <c r="L40" s="2"/>
      <c r="M40" s="473"/>
    </row>
    <row r="41" spans="1:14">
      <c r="A41" s="276" t="s">
        <v>79</v>
      </c>
      <c r="B41" s="17"/>
      <c r="C41" s="17"/>
      <c r="D41" s="263">
        <f>D23/(D29+D40)</f>
        <v>1.1509157583085206</v>
      </c>
      <c r="E41" s="17"/>
      <c r="F41" s="348" t="s">
        <v>39</v>
      </c>
      <c r="G41" s="28" t="s">
        <v>276</v>
      </c>
      <c r="H41" s="1045">
        <f>SECOND/L2</f>
        <v>97100</v>
      </c>
      <c r="I41" s="121" t="s">
        <v>48</v>
      </c>
      <c r="J41" s="598" t="s">
        <v>458</v>
      </c>
      <c r="K41" s="540"/>
      <c r="L41" s="2"/>
      <c r="M41" s="365"/>
      <c r="N41" s="118"/>
    </row>
    <row r="42" spans="1:14">
      <c r="A42" s="277"/>
      <c r="B42" s="2"/>
      <c r="C42" s="2"/>
      <c r="D42" s="264"/>
      <c r="E42" s="17"/>
      <c r="F42" s="349" t="s">
        <v>225</v>
      </c>
      <c r="G42" s="2" t="s">
        <v>276</v>
      </c>
      <c r="H42" s="1046">
        <f>J30/L2</f>
        <v>0</v>
      </c>
      <c r="I42" s="121" t="s">
        <v>48</v>
      </c>
      <c r="J42" s="513"/>
      <c r="K42" s="540"/>
      <c r="L42" s="686"/>
    </row>
    <row r="43" spans="1:14">
      <c r="A43" s="278"/>
      <c r="B43" s="279"/>
      <c r="C43" s="279"/>
      <c r="D43" s="280"/>
      <c r="E43" s="17"/>
      <c r="F43" s="351" t="s">
        <v>226</v>
      </c>
      <c r="G43" s="2" t="s">
        <v>276</v>
      </c>
      <c r="H43" s="304"/>
      <c r="I43" s="10"/>
      <c r="J43" s="474"/>
      <c r="K43" s="474"/>
      <c r="L43" s="474"/>
      <c r="M43" s="2"/>
      <c r="N43" s="2"/>
    </row>
    <row r="44" spans="1:14">
      <c r="E44" s="17"/>
      <c r="M44" s="2"/>
      <c r="N44" s="5"/>
    </row>
    <row r="45" spans="1:14">
      <c r="E45" s="2"/>
      <c r="H45" s="924">
        <f>H38+H39</f>
        <v>1116741.2320000001</v>
      </c>
      <c r="I45" s="924">
        <f>I38+I39</f>
        <v>97107.933217391372</v>
      </c>
      <c r="M45" s="2"/>
      <c r="N45" s="5"/>
    </row>
    <row r="46" spans="1:14">
      <c r="E46" s="2"/>
      <c r="M46" s="2"/>
      <c r="N46" s="5"/>
    </row>
    <row r="47" spans="1:14">
      <c r="A47" s="22"/>
      <c r="B47" s="2"/>
      <c r="C47" s="12"/>
      <c r="D47" s="2"/>
      <c r="E47" s="2"/>
      <c r="M47" s="474"/>
      <c r="N47" s="474"/>
    </row>
    <row r="48" spans="1:14">
      <c r="E48" s="22"/>
      <c r="H48" s="185"/>
      <c r="I48" s="476"/>
      <c r="J48" s="477"/>
      <c r="K48" s="477"/>
      <c r="L48" s="477"/>
      <c r="M48" s="477"/>
      <c r="N48" s="477"/>
    </row>
    <row r="49" spans="10:14">
      <c r="K49" s="32"/>
      <c r="L49" s="32"/>
      <c r="M49" s="32"/>
      <c r="N49" s="32"/>
    </row>
    <row r="50" spans="10:14">
      <c r="J50" s="475"/>
      <c r="K50" s="475"/>
      <c r="L50" s="475"/>
      <c r="M50" s="475"/>
      <c r="N50" s="475"/>
    </row>
  </sheetData>
  <customSheetViews>
    <customSheetView guid="{560D4AFA-61E5-46C3-B0CD-D0EB3053A033}" scale="75" colorId="22" showPageBreaks="1" fitToPage="1" printArea="1" showRuler="0" topLeftCell="B10">
      <selection activeCell="H36" sqref="H36"/>
      <pageMargins left="0.75" right="0.5" top="0.75" bottom="0.5" header="0.5" footer="0.5"/>
      <pageSetup scale="64" orientation="landscape" r:id="rId1"/>
      <headerFooter alignWithMargins="0"/>
    </customSheetView>
    <customSheetView guid="{1ECE83C7-A3CE-4F97-BFD3-498FF783C0D9}" scale="75" colorId="22" showPageBreaks="1" fitToPage="1" printArea="1" showRuler="0" topLeftCell="A13">
      <selection activeCell="H29" sqref="H29"/>
      <pageMargins left="0.75" right="0.5" top="0.75" bottom="0.5" header="0.5" footer="0.5"/>
      <pageSetup scale="64" orientation="landscape" r:id="rId2"/>
      <headerFooter alignWithMargins="0"/>
    </customSheetView>
    <customSheetView guid="{6EF643BE-69F3-424E-8A44-3890161370D4}" scale="75" colorId="22" showPageBreaks="1" fitToPage="1" printArea="1" showRuler="0" topLeftCell="D19">
      <selection activeCell="H30" sqref="H30"/>
      <pageMargins left="0.5" right="0.5" top="0.5" bottom="0" header="0.5" footer="0.5"/>
      <pageSetup scale="62" orientation="landscape" r:id="rId3"/>
      <headerFooter alignWithMargins="0"/>
    </customSheetView>
    <customSheetView guid="{FBB4BF8E-8A9F-4E98-A6F9-5F9BF4C55C67}" scale="75" colorId="22" showPageBreaks="1" fitToPage="1" printArea="1" showRuler="0" topLeftCell="F20">
      <selection activeCell="H28" sqref="H28"/>
      <pageMargins left="0.5" right="0.5" top="0.5" bottom="0" header="0.5" footer="0.5"/>
      <pageSetup scale="63" orientation="landscape" r:id="rId4"/>
      <headerFooter alignWithMargins="0"/>
    </customSheetView>
    <customSheetView guid="{EB776EFC-3589-4DB5-BEAF-1E83D9703F9E}" scale="75" colorId="22" fitToPage="1" showRuler="0" topLeftCell="F20">
      <selection activeCell="H39" sqref="H39"/>
      <pageMargins left="0.5" right="0.5" top="0.5" bottom="0" header="0.5" footer="0.5"/>
      <pageSetup scale="63" orientation="landscape" r:id="rId5"/>
      <headerFooter alignWithMargins="0"/>
    </customSheetView>
    <customSheetView guid="{AEA5979F-5357-4ED6-A6CA-1BB80F5C7A74}" scale="75" colorId="22" showPageBreaks="1" fitToPage="1" printArea="1" showRuler="0" topLeftCell="C7">
      <selection activeCell="J36" sqref="J36"/>
      <pageMargins left="0.5" right="0.5" top="0.5" bottom="0" header="0.5" footer="0.5"/>
      <pageSetup scale="62" orientation="landscape" r:id="rId6"/>
      <headerFooter alignWithMargins="0"/>
    </customSheetView>
    <customSheetView guid="{28F81D13-D146-4D67-8981-BA5D7A496326}" scale="75" colorId="22" showPageBreaks="1" fitToPage="1" printArea="1" showRuler="0" topLeftCell="F20">
      <selection activeCell="A11" sqref="A11"/>
      <pageMargins left="0.5" right="0.5" top="0.5" bottom="0" header="0.5" footer="0.5"/>
      <pageSetup scale="62" orientation="landscape" r:id="rId7"/>
      <headerFooter alignWithMargins="0"/>
    </customSheetView>
    <customSheetView guid="{25C4E7E7-1006-4A2D-BC83-AEE4ADF8A914}" scale="75" colorId="22" showPageBreaks="1" fitToPage="1" printArea="1" showRuler="0" topLeftCell="B22">
      <selection activeCell="H30" sqref="H30"/>
      <pageMargins left="0.75" right="0.5" top="0.75" bottom="0.5" header="0.5" footer="0.5"/>
      <pageSetup scale="64" orientation="landscape" r:id="rId8"/>
      <headerFooter alignWithMargins="0"/>
    </customSheetView>
  </customSheetViews>
  <phoneticPr fontId="0" type="noConversion"/>
  <pageMargins left="0.75" right="0.5" top="0.75" bottom="0.5" header="0.5" footer="0.5"/>
  <pageSetup scale="57" firstPageNumber="211" orientation="landscape" useFirstPageNumber="1" r:id="rId9"/>
  <headerFooter alignWithMargins="0"/>
  <legacyDrawing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zoomScale="64" zoomScaleNormal="64" workbookViewId="0">
      <selection activeCell="D77" sqref="D77:D78"/>
    </sheetView>
  </sheetViews>
  <sheetFormatPr defaultRowHeight="15"/>
  <cols>
    <col min="1" max="1" width="35.33203125" customWidth="1"/>
    <col min="2" max="2" width="19.5546875" style="357" bestFit="1" customWidth="1"/>
    <col min="3" max="3" width="15.109375" style="186" bestFit="1" customWidth="1"/>
    <col min="4" max="4" width="16.109375" customWidth="1"/>
    <col min="5" max="5" width="4.21875" customWidth="1"/>
    <col min="6" max="6" width="23.6640625" customWidth="1"/>
    <col min="7" max="7" width="13.33203125" customWidth="1"/>
    <col min="8" max="8" width="13.6640625" customWidth="1"/>
    <col min="9" max="9" width="12.77734375" bestFit="1" customWidth="1"/>
    <col min="10" max="10" width="10.21875" bestFit="1" customWidth="1"/>
    <col min="11" max="11" width="13.21875" customWidth="1"/>
    <col min="12" max="12" width="12.44140625" bestFit="1" customWidth="1"/>
    <col min="14" max="14" width="12.44140625" bestFit="1" customWidth="1"/>
  </cols>
  <sheetData>
    <row r="1" spans="1:11" ht="15.75">
      <c r="A1" s="30" t="str">
        <f>'Sources and Uses'!A1</f>
        <v>Homeless Development Model E- permanent</v>
      </c>
      <c r="B1" s="356"/>
      <c r="G1" s="385"/>
      <c r="H1" s="385"/>
    </row>
    <row r="2" spans="1:11" ht="15.75">
      <c r="A2" s="30" t="str">
        <f>'Sources and Uses'!A2</f>
        <v>4% LIHTC, HPD/HDC ELLA, DHS</v>
      </c>
      <c r="B2" s="356"/>
      <c r="D2" s="605"/>
      <c r="G2" s="385" t="str">
        <f>'Sources and Uses'!C2</f>
        <v>Units:</v>
      </c>
      <c r="H2" s="384">
        <f>'Units &amp; Income_rent'!B23</f>
        <v>100</v>
      </c>
    </row>
    <row r="4" spans="1:11" ht="15.75">
      <c r="A4" s="30" t="s">
        <v>219</v>
      </c>
    </row>
    <row r="5" spans="1:11" ht="15.75" thickBot="1">
      <c r="A5" s="386" t="s">
        <v>220</v>
      </c>
      <c r="B5" s="358"/>
      <c r="C5"/>
    </row>
    <row r="6" spans="1:11" ht="17.25" thickTop="1" thickBot="1">
      <c r="B6" s="356"/>
      <c r="F6" s="482" t="s">
        <v>334</v>
      </c>
      <c r="G6" s="483"/>
      <c r="H6" s="653">
        <v>99</v>
      </c>
      <c r="I6" s="598" t="s">
        <v>379</v>
      </c>
    </row>
    <row r="7" spans="1:11" ht="16.5" thickTop="1">
      <c r="A7" s="359"/>
      <c r="B7" s="360" t="s">
        <v>206</v>
      </c>
      <c r="C7" s="361" t="s">
        <v>205</v>
      </c>
      <c r="D7" s="362" t="s">
        <v>207</v>
      </c>
      <c r="F7" s="365" t="s">
        <v>210</v>
      </c>
      <c r="G7" s="160"/>
      <c r="H7" s="373">
        <f>H6/H2</f>
        <v>0.99</v>
      </c>
    </row>
    <row r="8" spans="1:11">
      <c r="A8" s="363" t="str">
        <f>'Devel. Bud'!A6</f>
        <v>Acquisition Cost</v>
      </c>
      <c r="B8" s="351" t="s">
        <v>208</v>
      </c>
      <c r="C8" s="318">
        <f>'Devel. Bud'!D6</f>
        <v>3792000</v>
      </c>
      <c r="D8" s="485"/>
      <c r="F8" s="365" t="s">
        <v>211</v>
      </c>
      <c r="G8" s="160"/>
      <c r="H8" s="373">
        <f>('Devel. Bud'!D11)/'Devel. Bud'!D15</f>
        <v>0</v>
      </c>
    </row>
    <row r="9" spans="1:11">
      <c r="A9" s="365"/>
      <c r="B9" s="351"/>
      <c r="C9" s="318"/>
      <c r="D9" s="364"/>
      <c r="F9" s="365" t="s">
        <v>212</v>
      </c>
      <c r="G9" s="160"/>
      <c r="H9" s="374">
        <f>H7-H8</f>
        <v>0.99</v>
      </c>
    </row>
    <row r="10" spans="1:11">
      <c r="A10" s="363" t="str">
        <f>'Devel. Bud'!A8</f>
        <v>Construction Cost</v>
      </c>
      <c r="B10" s="351"/>
      <c r="C10" s="318"/>
      <c r="D10" s="364"/>
      <c r="F10" s="375" t="s">
        <v>213</v>
      </c>
      <c r="G10" s="376"/>
      <c r="H10" s="377">
        <f>('Sources and Uses'!B7-'Sources and Uses'!B20)/'Sources and Uses'!B7</f>
        <v>0.32315640572624416</v>
      </c>
    </row>
    <row r="11" spans="1:11">
      <c r="A11" s="363" t="str">
        <f>'Devel. Bud'!A9</f>
        <v xml:space="preserve">Contractor Price </v>
      </c>
      <c r="B11" s="351"/>
      <c r="C11" s="318"/>
      <c r="D11" s="364"/>
    </row>
    <row r="12" spans="1:11" ht="15.75" thickBot="1">
      <c r="A12" s="365" t="str">
        <f>'Devel. Bud'!A10</f>
        <v>Residential</v>
      </c>
      <c r="B12" s="351" t="s">
        <v>209</v>
      </c>
      <c r="C12" s="318">
        <f>'Devel. Bud'!D10</f>
        <v>27000000</v>
      </c>
      <c r="D12" s="484">
        <f>IF(B12="Y",(C12*$H$9),0)</f>
        <v>26730000</v>
      </c>
      <c r="G12" s="594"/>
      <c r="H12" s="594"/>
      <c r="I12" s="594"/>
    </row>
    <row r="13" spans="1:11" ht="16.5" thickTop="1" thickBot="1">
      <c r="A13" s="365" t="str">
        <f>'Devel. Bud'!A11</f>
        <v>Commercial Space</v>
      </c>
      <c r="B13" s="351" t="s">
        <v>209</v>
      </c>
      <c r="C13" s="318">
        <f>'Devel. Bud'!D11</f>
        <v>0</v>
      </c>
      <c r="D13" s="484">
        <f>IF(B13="Y",(C13*$H$9),0)</f>
        <v>0</v>
      </c>
      <c r="F13" s="359" t="s">
        <v>217</v>
      </c>
      <c r="G13" s="595">
        <v>1.3</v>
      </c>
      <c r="H13" s="1105">
        <f>36755987*G13</f>
        <v>47782783.100000001</v>
      </c>
      <c r="I13" s="1340" t="s">
        <v>517</v>
      </c>
      <c r="J13" s="598"/>
    </row>
    <row r="14" spans="1:11" ht="15.75" thickTop="1">
      <c r="A14" s="365" t="str">
        <f>'Devel. Bud'!A12</f>
        <v>Community Space</v>
      </c>
      <c r="B14" s="351" t="s">
        <v>209</v>
      </c>
      <c r="C14" s="318">
        <f>'Devel. Bud'!D12</f>
        <v>0</v>
      </c>
      <c r="D14" s="484">
        <f>IF(B14="Y",(C14*$H$9),0)</f>
        <v>0</v>
      </c>
      <c r="F14" s="365" t="s">
        <v>214</v>
      </c>
      <c r="G14" s="981">
        <v>3.2500000000000001E-2</v>
      </c>
      <c r="H14" s="596">
        <f>H13*G14</f>
        <v>1552940.4507500001</v>
      </c>
      <c r="I14" s="601"/>
      <c r="J14" s="632"/>
      <c r="K14" s="601"/>
    </row>
    <row r="15" spans="1:11">
      <c r="A15" s="365" t="str">
        <f>'Devel. Bud'!A13</f>
        <v>Parking</v>
      </c>
      <c r="B15" s="351" t="s">
        <v>209</v>
      </c>
      <c r="C15" s="318">
        <f>'Devel. Bud'!D13</f>
        <v>0</v>
      </c>
      <c r="D15" s="484">
        <f>IF(B15="Y",(C15*$H$9),0)</f>
        <v>0</v>
      </c>
      <c r="F15" s="365" t="s">
        <v>215</v>
      </c>
      <c r="G15" s="1113">
        <v>1.1000000000000001</v>
      </c>
      <c r="H15" s="596">
        <f>H14*G15</f>
        <v>1708234.4958250001</v>
      </c>
      <c r="I15" s="594"/>
    </row>
    <row r="16" spans="1:11">
      <c r="A16" s="365" t="str">
        <f>'Devel. Bud'!A14</f>
        <v>Contingency</v>
      </c>
      <c r="B16" s="351" t="s">
        <v>209</v>
      </c>
      <c r="C16" s="318">
        <f>'Devel. Bud'!D14</f>
        <v>1350000</v>
      </c>
      <c r="D16" s="484">
        <f>IF(B16="Y",(C16*$H$9),0)</f>
        <v>1336500</v>
      </c>
      <c r="F16" s="375" t="s">
        <v>216</v>
      </c>
      <c r="G16" s="597"/>
      <c r="H16" s="993">
        <f>H15*10</f>
        <v>17082344.958250001</v>
      </c>
      <c r="I16" s="594"/>
    </row>
    <row r="17" spans="1:17">
      <c r="A17" s="365"/>
      <c r="B17" s="351"/>
      <c r="C17" s="318"/>
      <c r="D17" s="366"/>
    </row>
    <row r="18" spans="1:17">
      <c r="A18" s="365"/>
      <c r="B18" s="351"/>
      <c r="C18" s="318"/>
      <c r="D18" s="366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</row>
    <row r="19" spans="1:17">
      <c r="A19" s="363" t="str">
        <f>'Devel. Bud'!A15</f>
        <v>Total Hard Cost</v>
      </c>
      <c r="B19" s="351"/>
      <c r="C19" s="367">
        <f>'Devel. Bud'!D15</f>
        <v>28350000</v>
      </c>
      <c r="D19" s="368">
        <f>SUM(D12:D18)</f>
        <v>28066500</v>
      </c>
      <c r="F19" s="946"/>
      <c r="H19" s="1027">
        <f>H16/H6</f>
        <v>172548.93897222224</v>
      </c>
      <c r="I19" s="598" t="s">
        <v>446</v>
      </c>
      <c r="J19" s="946"/>
      <c r="K19" s="946"/>
      <c r="L19" s="946"/>
      <c r="M19" s="141"/>
      <c r="N19" s="141"/>
      <c r="O19" s="141"/>
      <c r="P19" s="141"/>
      <c r="Q19" s="141"/>
    </row>
    <row r="20" spans="1:17" ht="15.75">
      <c r="A20" s="365"/>
      <c r="B20" s="351"/>
      <c r="C20" s="318"/>
      <c r="D20" s="364"/>
      <c r="F20" s="192"/>
      <c r="H20" s="607">
        <f ca="1">H16/'Devel. Bud'!D72</f>
        <v>0.37669016795999605</v>
      </c>
      <c r="I20" s="598" t="s">
        <v>447</v>
      </c>
      <c r="J20" s="141"/>
      <c r="K20" s="946"/>
      <c r="L20" s="946"/>
      <c r="M20" s="141"/>
      <c r="N20" s="141"/>
      <c r="O20" s="141"/>
      <c r="P20" s="141"/>
      <c r="Q20" s="141"/>
    </row>
    <row r="21" spans="1:17">
      <c r="A21" s="365"/>
      <c r="B21" s="351"/>
      <c r="C21" s="318"/>
      <c r="D21" s="364"/>
      <c r="F21" s="709"/>
      <c r="G21" s="953"/>
      <c r="H21" s="988"/>
      <c r="I21" s="709"/>
      <c r="J21" s="141"/>
      <c r="K21" s="946"/>
      <c r="L21" s="946"/>
      <c r="M21" s="141"/>
      <c r="N21" s="141"/>
      <c r="O21" s="141"/>
      <c r="P21" s="141"/>
      <c r="Q21" s="141"/>
    </row>
    <row r="22" spans="1:17">
      <c r="A22" s="363" t="str">
        <f>'Devel. Bud'!A18</f>
        <v>Soft Cost</v>
      </c>
      <c r="B22" s="351"/>
      <c r="C22" s="318"/>
      <c r="D22" s="364"/>
      <c r="F22" s="709"/>
      <c r="G22" s="1032"/>
      <c r="H22" s="1069"/>
      <c r="I22" s="709"/>
      <c r="J22" s="141"/>
      <c r="K22" s="946"/>
      <c r="L22" s="946"/>
      <c r="M22" s="141"/>
      <c r="N22" s="141"/>
      <c r="O22" s="141"/>
      <c r="P22" s="141"/>
      <c r="Q22" s="141"/>
    </row>
    <row r="23" spans="1:17">
      <c r="A23" s="365"/>
      <c r="B23" s="351"/>
      <c r="C23" s="318"/>
      <c r="D23" s="364"/>
      <c r="F23" s="709"/>
      <c r="G23" s="1070"/>
      <c r="H23" s="988"/>
      <c r="I23" s="709"/>
      <c r="J23" s="141"/>
      <c r="K23" s="1031"/>
      <c r="L23" s="946"/>
      <c r="M23" s="709"/>
      <c r="N23" s="1071"/>
      <c r="O23" s="141"/>
      <c r="P23" s="141"/>
      <c r="Q23" s="141"/>
    </row>
    <row r="24" spans="1:17">
      <c r="A24" s="365" t="str">
        <f>'Devel. Bud'!A20</f>
        <v>Borrower's Legal</v>
      </c>
      <c r="B24" s="351" t="s">
        <v>209</v>
      </c>
      <c r="C24" s="318">
        <f>'Devel. Bud'!D20</f>
        <v>100000</v>
      </c>
      <c r="D24" s="484">
        <f t="shared" ref="D24:D36" si="0">IF(B24="Y",(C24*$H$9),0)</f>
        <v>99000</v>
      </c>
      <c r="F24" s="709"/>
      <c r="G24" s="1072"/>
      <c r="H24" s="988"/>
      <c r="I24" s="987"/>
      <c r="J24" s="948"/>
      <c r="K24" s="946"/>
      <c r="L24" s="946"/>
      <c r="M24" s="709"/>
      <c r="N24" s="1071"/>
      <c r="O24" s="141"/>
      <c r="P24" s="141"/>
      <c r="Q24" s="141"/>
    </row>
    <row r="25" spans="1:17">
      <c r="A25" s="365" t="str">
        <f>'Devel. Bud'!A21</f>
        <v>Borrower's Engineer/Architect Fees</v>
      </c>
      <c r="B25" s="351" t="s">
        <v>209</v>
      </c>
      <c r="C25" s="318">
        <f>'Devel. Bud'!D21</f>
        <v>1350000</v>
      </c>
      <c r="D25" s="484">
        <f t="shared" si="0"/>
        <v>1336500</v>
      </c>
      <c r="F25" s="709"/>
      <c r="G25" s="709"/>
      <c r="H25" s="1069"/>
      <c r="I25" s="709"/>
      <c r="J25" s="1071"/>
      <c r="K25" s="709"/>
      <c r="L25" s="946"/>
      <c r="M25" s="141"/>
      <c r="N25" s="141"/>
      <c r="O25" s="141"/>
      <c r="P25" s="141"/>
      <c r="Q25" s="141"/>
    </row>
    <row r="26" spans="1:17" s="122" customFormat="1">
      <c r="A26" s="549" t="str">
        <f>'Devel. Bud'!A22</f>
        <v>Accounting &amp; Cost Certification</v>
      </c>
      <c r="B26" s="550" t="s">
        <v>209</v>
      </c>
      <c r="C26" s="551">
        <f>'Devel. Bud'!D22</f>
        <v>25000</v>
      </c>
      <c r="D26" s="552">
        <f t="shared" si="0"/>
        <v>24750</v>
      </c>
      <c r="F26" s="709"/>
      <c r="G26" s="709"/>
      <c r="H26" s="988"/>
      <c r="I26" s="709"/>
      <c r="J26" s="946"/>
      <c r="K26" s="946"/>
      <c r="L26" s="946"/>
      <c r="M26" s="709"/>
      <c r="N26" s="709"/>
      <c r="O26" s="709"/>
      <c r="P26" s="709"/>
      <c r="Q26" s="709"/>
    </row>
    <row r="27" spans="1:17">
      <c r="A27" s="365" t="str">
        <f>'Devel. Bud'!A23</f>
        <v>Housing/Development Consultant</v>
      </c>
      <c r="B27" s="351" t="s">
        <v>209</v>
      </c>
      <c r="C27" s="318">
        <f>'Devel. Bud'!D23</f>
        <v>0</v>
      </c>
      <c r="D27" s="484">
        <f t="shared" si="0"/>
        <v>0</v>
      </c>
      <c r="F27" s="709"/>
      <c r="G27" s="1031"/>
      <c r="H27" s="1031"/>
      <c r="I27" s="709"/>
      <c r="J27" s="946"/>
      <c r="K27" s="946"/>
      <c r="L27" s="946"/>
      <c r="M27" s="141"/>
      <c r="N27" s="141"/>
      <c r="O27" s="141"/>
      <c r="P27" s="141"/>
      <c r="Q27" s="141"/>
    </row>
    <row r="28" spans="1:17">
      <c r="A28" s="365" t="str">
        <f>'Devel. Bud'!A24</f>
        <v>Bank's Engineer</v>
      </c>
      <c r="B28" s="351" t="s">
        <v>209</v>
      </c>
      <c r="C28" s="318">
        <f>'Devel. Bud'!D24</f>
        <v>21000</v>
      </c>
      <c r="D28" s="484">
        <f t="shared" si="0"/>
        <v>20790</v>
      </c>
      <c r="F28" s="709"/>
      <c r="G28" s="709"/>
      <c r="H28" s="1031"/>
      <c r="I28" s="709"/>
      <c r="J28" s="946"/>
      <c r="K28" s="946"/>
      <c r="L28" s="946"/>
      <c r="M28" s="141"/>
      <c r="N28" s="141"/>
      <c r="O28" s="141"/>
      <c r="P28" s="141"/>
      <c r="Q28" s="141"/>
    </row>
    <row r="29" spans="1:17" ht="15.75">
      <c r="A29" s="365" t="str">
        <f>'Devel. Bud'!A25</f>
        <v>Bank Legal</v>
      </c>
      <c r="B29" s="351" t="s">
        <v>209</v>
      </c>
      <c r="C29" s="318">
        <f>'Devel. Bud'!D25</f>
        <v>100000</v>
      </c>
      <c r="D29" s="484">
        <f t="shared" si="0"/>
        <v>99000</v>
      </c>
      <c r="F29" s="192"/>
      <c r="G29" s="709"/>
      <c r="H29" s="709"/>
      <c r="I29" s="709"/>
      <c r="J29" s="141"/>
      <c r="K29" s="141"/>
      <c r="L29" s="141"/>
      <c r="M29" s="141"/>
      <c r="N29" s="141"/>
      <c r="O29" s="141"/>
      <c r="P29" s="141"/>
      <c r="Q29" s="141"/>
    </row>
    <row r="30" spans="1:17">
      <c r="A30" s="365" t="str">
        <f>'Devel. Bud'!A26</f>
        <v>Permits and Special Inspections</v>
      </c>
      <c r="B30" s="351" t="s">
        <v>209</v>
      </c>
      <c r="C30" s="318">
        <f>'Devel. Bud'!D26</f>
        <v>57000</v>
      </c>
      <c r="D30" s="484">
        <f t="shared" si="0"/>
        <v>56430</v>
      </c>
      <c r="F30" s="709"/>
      <c r="G30" s="953"/>
      <c r="H30" s="988"/>
      <c r="I30" s="709"/>
      <c r="J30" s="141"/>
      <c r="K30" s="141"/>
      <c r="L30" s="141"/>
      <c r="M30" s="141"/>
      <c r="N30" s="141"/>
      <c r="O30" s="141"/>
      <c r="P30" s="141"/>
      <c r="Q30" s="141"/>
    </row>
    <row r="31" spans="1:17">
      <c r="A31" s="365" t="str">
        <f>'Devel. Bud'!A27</f>
        <v>Environmental Phase I &amp; II Investig &amp; Reports</v>
      </c>
      <c r="B31" s="351" t="s">
        <v>209</v>
      </c>
      <c r="C31" s="318">
        <f>'Devel. Bud'!D27</f>
        <v>6000</v>
      </c>
      <c r="D31" s="484">
        <f t="shared" si="0"/>
        <v>5940</v>
      </c>
      <c r="F31" s="709"/>
      <c r="G31" s="1032"/>
      <c r="H31" s="584"/>
      <c r="I31" s="709"/>
      <c r="J31" s="141"/>
      <c r="K31" s="141"/>
      <c r="L31" s="141"/>
      <c r="M31" s="141"/>
      <c r="N31" s="141"/>
      <c r="O31" s="141"/>
      <c r="P31" s="141"/>
      <c r="Q31" s="141"/>
    </row>
    <row r="32" spans="1:17">
      <c r="A32" s="365" t="str">
        <f>'Devel. Bud'!A28</f>
        <v>SEQRA Submissions</v>
      </c>
      <c r="B32" s="351" t="s">
        <v>209</v>
      </c>
      <c r="C32" s="318">
        <f>'Devel. Bud'!D28</f>
        <v>0</v>
      </c>
      <c r="D32" s="484">
        <f t="shared" si="0"/>
        <v>0</v>
      </c>
      <c r="F32" s="709"/>
      <c r="G32" s="584"/>
      <c r="H32" s="988"/>
      <c r="I32" s="709"/>
      <c r="J32" s="141"/>
      <c r="K32" s="141"/>
      <c r="L32" s="141"/>
      <c r="M32" s="141"/>
      <c r="N32" s="141"/>
      <c r="O32" s="141"/>
      <c r="P32" s="141"/>
      <c r="Q32" s="141"/>
    </row>
    <row r="33" spans="1:17">
      <c r="A33" s="582" t="str">
        <f>'Devel. Bud'!A29</f>
        <v>Borings / Geotechnical</v>
      </c>
      <c r="B33" s="583" t="s">
        <v>209</v>
      </c>
      <c r="C33" s="584">
        <f>'Devel. Bud'!D29</f>
        <v>12000</v>
      </c>
      <c r="D33" s="588">
        <f t="shared" si="0"/>
        <v>11880</v>
      </c>
      <c r="F33" s="709"/>
      <c r="G33" s="1033"/>
      <c r="H33" s="988"/>
      <c r="I33" s="988"/>
      <c r="J33" s="948"/>
      <c r="K33" s="141"/>
      <c r="L33" s="141"/>
      <c r="M33" s="141"/>
      <c r="N33" s="141"/>
      <c r="O33" s="141"/>
      <c r="P33" s="141"/>
      <c r="Q33" s="141"/>
    </row>
    <row r="34" spans="1:17">
      <c r="A34" s="582" t="str">
        <f>'Devel. Bud'!A30</f>
        <v>Survey</v>
      </c>
      <c r="B34" s="583" t="s">
        <v>209</v>
      </c>
      <c r="C34" s="584">
        <f>'Devel. Bud'!D30</f>
        <v>3000</v>
      </c>
      <c r="D34" s="588">
        <f t="shared" si="0"/>
        <v>2970</v>
      </c>
      <c r="F34" s="709"/>
      <c r="G34" s="709"/>
      <c r="H34" s="584"/>
      <c r="I34" s="709"/>
      <c r="J34" s="948"/>
      <c r="K34" s="946"/>
      <c r="L34" s="141"/>
      <c r="M34" s="141"/>
      <c r="N34" s="141"/>
      <c r="O34" s="141"/>
      <c r="P34" s="141"/>
      <c r="Q34" s="141"/>
    </row>
    <row r="35" spans="1:17">
      <c r="A35" s="582" t="str">
        <f>'Devel. Bud'!A31</f>
        <v>Title Insurance</v>
      </c>
      <c r="B35" s="583" t="s">
        <v>209</v>
      </c>
      <c r="C35" s="584">
        <f ca="1">'Devel. Bud'!D31</f>
        <v>323388.03602014884</v>
      </c>
      <c r="D35" s="588">
        <f t="shared" ca="1" si="0"/>
        <v>320154.15565994737</v>
      </c>
      <c r="F35" s="985"/>
      <c r="G35" s="985"/>
      <c r="H35" s="986"/>
      <c r="I35" s="709"/>
      <c r="J35" s="709"/>
      <c r="K35" s="141"/>
      <c r="L35" s="141"/>
      <c r="M35" s="141"/>
      <c r="N35" s="141"/>
      <c r="O35" s="141"/>
      <c r="P35" s="141"/>
      <c r="Q35" s="141"/>
    </row>
    <row r="36" spans="1:17">
      <c r="A36" s="582" t="str">
        <f>'Devel. Bud'!A32</f>
        <v xml:space="preserve">Appraisal </v>
      </c>
      <c r="B36" s="583" t="s">
        <v>209</v>
      </c>
      <c r="C36" s="584">
        <f>'Devel. Bud'!D32</f>
        <v>4500</v>
      </c>
      <c r="D36" s="588">
        <f t="shared" si="0"/>
        <v>4455</v>
      </c>
      <c r="F36" s="141"/>
      <c r="G36" s="141"/>
      <c r="H36" s="987"/>
      <c r="I36" s="948"/>
      <c r="J36" s="141"/>
      <c r="K36" s="141"/>
      <c r="L36" s="984"/>
      <c r="M36" s="946"/>
      <c r="N36" s="946"/>
      <c r="O36" s="141"/>
      <c r="P36" s="141"/>
      <c r="Q36" s="141"/>
    </row>
    <row r="37" spans="1:17" ht="15.75">
      <c r="A37" s="578" t="str">
        <f>'Devel. Bud'!A34</f>
        <v>Subtotal</v>
      </c>
      <c r="B37" s="583"/>
      <c r="C37" s="579">
        <f ca="1">'Devel. Bud'!D34</f>
        <v>2001888.0360201488</v>
      </c>
      <c r="D37" s="580">
        <f ca="1">SUM(D24:D36)</f>
        <v>1981869.1556599473</v>
      </c>
      <c r="F37" s="141"/>
      <c r="G37" s="709"/>
      <c r="H37" s="988"/>
      <c r="I37" s="141"/>
      <c r="J37" s="141"/>
      <c r="K37" s="141"/>
      <c r="L37" s="984"/>
      <c r="M37" s="946"/>
      <c r="N37" s="989"/>
      <c r="O37" s="141"/>
      <c r="P37" s="141"/>
      <c r="Q37" s="141"/>
    </row>
    <row r="38" spans="1:17" ht="15.75">
      <c r="A38" s="582"/>
      <c r="B38" s="583"/>
      <c r="C38" s="584"/>
      <c r="D38" s="589"/>
      <c r="F38" s="141"/>
      <c r="G38" s="141"/>
      <c r="H38" s="990"/>
      <c r="I38" s="709"/>
      <c r="J38" s="141"/>
      <c r="K38" s="141"/>
      <c r="L38" s="946"/>
      <c r="M38" s="946"/>
      <c r="N38" s="946"/>
      <c r="O38" s="141"/>
      <c r="P38" s="141"/>
      <c r="Q38" s="141"/>
    </row>
    <row r="39" spans="1:17" ht="15.75">
      <c r="A39" s="581" t="str">
        <f>'Devel. Bud'!A36</f>
        <v>Financing Fees (Please maintain links to original calculations and note any changes)</v>
      </c>
      <c r="B39" s="583"/>
      <c r="C39" s="584"/>
      <c r="D39" s="589"/>
      <c r="F39" s="947"/>
      <c r="G39" s="946"/>
      <c r="H39" s="946"/>
      <c r="I39" s="946"/>
      <c r="J39" s="946"/>
      <c r="K39" s="141"/>
      <c r="L39" s="141"/>
      <c r="M39" s="141"/>
      <c r="N39" s="141"/>
      <c r="O39" s="141"/>
      <c r="P39" s="141"/>
      <c r="Q39" s="141"/>
    </row>
    <row r="40" spans="1:17" ht="15.75">
      <c r="A40" s="582" t="str">
        <f>'Devel. Bud'!A37</f>
        <v>Upfront L/C Fee</v>
      </c>
      <c r="B40" s="583" t="s">
        <v>209</v>
      </c>
      <c r="C40" s="584">
        <f>'Devel. Bud'!D37</f>
        <v>251711.99290554618</v>
      </c>
      <c r="D40" s="588">
        <f>IF(B40="Y",((C40*0.69)*$H$9),0)</f>
        <v>171944.46235377857</v>
      </c>
      <c r="F40" s="991"/>
      <c r="G40" s="946"/>
      <c r="H40" s="983"/>
      <c r="I40" s="946"/>
      <c r="J40" s="946"/>
      <c r="K40" s="141"/>
      <c r="L40" s="141"/>
      <c r="M40" s="141"/>
      <c r="N40" s="141"/>
      <c r="O40" s="141"/>
      <c r="P40" s="141"/>
      <c r="Q40" s="141"/>
    </row>
    <row r="41" spans="1:17" s="122" customFormat="1" ht="15.75">
      <c r="A41" s="582" t="str">
        <f>'Devel. Bud'!A38</f>
        <v>Annual L/C Fee</v>
      </c>
      <c r="B41" s="583" t="s">
        <v>209</v>
      </c>
      <c r="C41" s="584">
        <f>'Devel. Bud'!D38</f>
        <v>720811.61604770052</v>
      </c>
      <c r="D41" s="588">
        <f>IF(B41="Y",((C41*0.69)*$H$9),0)</f>
        <v>492386.41492218419</v>
      </c>
      <c r="F41" s="947"/>
      <c r="G41" s="946"/>
      <c r="H41" s="946"/>
      <c r="I41" s="946"/>
      <c r="J41" s="946"/>
      <c r="K41" s="709"/>
      <c r="L41" s="709"/>
      <c r="M41" s="709"/>
      <c r="N41" s="709"/>
      <c r="O41" s="709"/>
      <c r="P41" s="709"/>
      <c r="Q41" s="709"/>
    </row>
    <row r="42" spans="1:17" ht="15.75">
      <c r="A42" s="582" t="str">
        <f>'Devel. Bud'!A39</f>
        <v>HDC Fee (if applicable)</v>
      </c>
      <c r="B42" s="583" t="s">
        <v>208</v>
      </c>
      <c r="C42" s="584">
        <f>'Devel. Bud'!D39</f>
        <v>170090.99439513436</v>
      </c>
      <c r="D42" s="590"/>
      <c r="F42" s="989"/>
      <c r="G42" s="946"/>
      <c r="H42" s="946"/>
      <c r="I42" s="946"/>
      <c r="J42" s="946"/>
      <c r="K42" s="141"/>
      <c r="L42" s="141"/>
      <c r="M42" s="141"/>
      <c r="N42" s="141"/>
      <c r="O42" s="141"/>
      <c r="P42" s="141"/>
      <c r="Q42" s="141"/>
    </row>
    <row r="43" spans="1:17" s="547" customFormat="1" ht="15.75">
      <c r="A43" s="582" t="str">
        <f>'Devel. Bud'!A40</f>
        <v>Costs of Issuance</v>
      </c>
      <c r="B43" s="583" t="s">
        <v>209</v>
      </c>
      <c r="C43" s="584">
        <f>'Devel. Bud'!D40</f>
        <v>340181.98879026872</v>
      </c>
      <c r="D43" s="588">
        <f>IF(B43="Y",((C43*0.085)*$H$9),0)</f>
        <v>28626.314356701114</v>
      </c>
      <c r="F43" s="989"/>
      <c r="G43" s="946"/>
      <c r="H43" s="946"/>
      <c r="I43" s="946"/>
      <c r="J43" s="946"/>
      <c r="K43" s="985"/>
      <c r="L43" s="985"/>
      <c r="M43" s="985"/>
      <c r="N43" s="985"/>
      <c r="O43" s="985"/>
      <c r="P43" s="985"/>
      <c r="Q43" s="985"/>
    </row>
    <row r="44" spans="1:17" ht="15.75">
      <c r="A44" s="582" t="str">
        <f>'Devel. Bud'!A41</f>
        <v>NY State Bond Issuance Charge</v>
      </c>
      <c r="B44" s="583" t="s">
        <v>208</v>
      </c>
      <c r="C44" s="584">
        <f>'Devel. Bud'!D41</f>
        <v>190501.91372255047</v>
      </c>
      <c r="D44" s="590"/>
      <c r="F44" s="947"/>
      <c r="G44" s="946"/>
      <c r="H44" s="946"/>
      <c r="I44" s="946"/>
      <c r="J44" s="946"/>
      <c r="K44" s="141"/>
      <c r="L44" s="141"/>
      <c r="M44" s="141"/>
      <c r="N44" s="141"/>
      <c r="O44" s="141"/>
      <c r="P44" s="141"/>
      <c r="Q44" s="141"/>
    </row>
    <row r="45" spans="1:17" ht="15.75">
      <c r="A45" s="582" t="str">
        <f>'Devel. Bud'!A42</f>
        <v>Property Tax Incentive Fees &amp; Consultant</v>
      </c>
      <c r="B45" s="583" t="s">
        <v>209</v>
      </c>
      <c r="C45" s="584">
        <f>'Devel. Bud'!D42</f>
        <v>8350</v>
      </c>
      <c r="D45" s="588">
        <f>IF(B45="Y",(C45*$H$9),0)</f>
        <v>8266.5</v>
      </c>
      <c r="F45" s="989"/>
      <c r="G45" s="946"/>
      <c r="H45" s="946"/>
      <c r="I45" s="946"/>
      <c r="J45" s="946"/>
      <c r="K45" s="141"/>
      <c r="L45" s="141"/>
      <c r="M45" s="141"/>
      <c r="N45" s="141"/>
      <c r="O45" s="141"/>
      <c r="P45" s="141"/>
      <c r="Q45" s="141"/>
    </row>
    <row r="46" spans="1:17" ht="15.75">
      <c r="A46" s="582" t="str">
        <f>'Devel. Bud'!A43</f>
        <v>LIHTC/SLIHC Application Fee</v>
      </c>
      <c r="B46" s="583" t="s">
        <v>208</v>
      </c>
      <c r="C46" s="584"/>
      <c r="D46" s="590"/>
      <c r="F46" s="947"/>
      <c r="G46" s="946"/>
      <c r="H46" s="946"/>
      <c r="I46" s="946"/>
      <c r="J46" s="946"/>
      <c r="K46" s="141"/>
      <c r="L46" s="141"/>
      <c r="M46" s="141"/>
      <c r="N46" s="141"/>
      <c r="O46" s="141"/>
      <c r="P46" s="141"/>
      <c r="Q46" s="141"/>
    </row>
    <row r="47" spans="1:17" ht="15.75">
      <c r="A47" s="582" t="str">
        <f>'Devel. Bud'!A44</f>
        <v>Other (Specify:LIHTC/SLIHC Credit Allocation Fee)</v>
      </c>
      <c r="B47" s="583" t="s">
        <v>208</v>
      </c>
      <c r="C47" s="584">
        <f>'Devel. Bud'!D44</f>
        <v>77647.022537500001</v>
      </c>
      <c r="D47" s="590"/>
      <c r="F47" s="992"/>
      <c r="G47" s="946"/>
      <c r="H47" s="946"/>
      <c r="I47" s="946"/>
      <c r="J47" s="946"/>
      <c r="K47" s="141"/>
      <c r="L47" s="141"/>
      <c r="M47" s="141"/>
      <c r="N47" s="141"/>
      <c r="O47" s="141"/>
      <c r="P47" s="141"/>
      <c r="Q47" s="141"/>
    </row>
    <row r="48" spans="1:17" ht="15.75">
      <c r="A48" s="585" t="str">
        <f>'Devel. Bud'!A45</f>
        <v>Subtotal</v>
      </c>
      <c r="B48" s="586"/>
      <c r="C48" s="579">
        <f>'Devel. Bud'!D45</f>
        <v>1761295.5283987003</v>
      </c>
      <c r="D48" s="587">
        <f>SUM(D40:D47)</f>
        <v>701223.69163266383</v>
      </c>
      <c r="F48" s="947"/>
      <c r="G48" s="946"/>
      <c r="H48" s="946"/>
      <c r="I48" s="946"/>
      <c r="J48" s="946"/>
      <c r="K48" s="141"/>
      <c r="L48" s="141"/>
      <c r="M48" s="141"/>
      <c r="N48" s="141"/>
      <c r="O48" s="141"/>
      <c r="P48" s="141"/>
      <c r="Q48" s="141"/>
    </row>
    <row r="49" spans="1:17" ht="15.75">
      <c r="A49" s="582"/>
      <c r="B49" s="583"/>
      <c r="C49" s="584"/>
      <c r="D49" s="589"/>
      <c r="F49" s="947"/>
      <c r="G49" s="946"/>
      <c r="H49" s="946"/>
      <c r="I49" s="946"/>
      <c r="J49" s="946"/>
      <c r="K49" s="141"/>
      <c r="L49" s="141"/>
      <c r="M49" s="141"/>
      <c r="N49" s="141"/>
      <c r="O49" s="141"/>
      <c r="P49" s="141"/>
      <c r="Q49" s="141"/>
    </row>
    <row r="50" spans="1:17" ht="15.75">
      <c r="A50" s="581" t="str">
        <f>'Devel. Bud'!A47</f>
        <v xml:space="preserve">Carrying Costs </v>
      </c>
      <c r="B50" s="583"/>
      <c r="C50" s="584"/>
      <c r="D50" s="589"/>
      <c r="F50" s="947"/>
      <c r="G50" s="946"/>
      <c r="H50" s="946"/>
      <c r="I50" s="946"/>
      <c r="J50" s="946"/>
      <c r="K50" s="141"/>
      <c r="L50" s="141"/>
      <c r="M50" s="141"/>
      <c r="N50" s="141"/>
      <c r="O50" s="141"/>
      <c r="P50" s="141"/>
      <c r="Q50" s="141"/>
    </row>
    <row r="51" spans="1:17" ht="15.75">
      <c r="A51" s="582" t="str">
        <f>'Devel. Bud'!A48</f>
        <v>Construction Interest</v>
      </c>
      <c r="B51" s="583" t="s">
        <v>209</v>
      </c>
      <c r="C51" s="584">
        <f ca="1">'Devel. Bud'!D48</f>
        <v>2922241.7918891991</v>
      </c>
      <c r="D51" s="588">
        <f ca="1">IF(B51="Y",((C51*0.54)*$H$9),0)</f>
        <v>1562230.4619439659</v>
      </c>
      <c r="F51" s="991"/>
      <c r="G51" s="946"/>
      <c r="H51" s="946"/>
      <c r="I51" s="946"/>
      <c r="J51" s="946"/>
      <c r="K51" s="141"/>
      <c r="L51" s="141"/>
      <c r="M51" s="141"/>
      <c r="N51" s="141"/>
      <c r="O51" s="141"/>
      <c r="P51" s="141"/>
      <c r="Q51" s="141"/>
    </row>
    <row r="52" spans="1:17" s="547" customFormat="1" ht="15.75">
      <c r="A52" s="582" t="str">
        <f>'Devel. Bud'!A49</f>
        <v>Negative Arbitrage / Inclusionary Housing Plan Fees &amp; Reserves</v>
      </c>
      <c r="B52" s="583" t="s">
        <v>208</v>
      </c>
      <c r="C52" s="584">
        <f>'Devel. Bud'!D49</f>
        <v>586024.83234935836</v>
      </c>
      <c r="D52" s="588">
        <f>IF(B52="Y",(C52*$H$9),0)</f>
        <v>0</v>
      </c>
      <c r="F52" s="947"/>
      <c r="G52" s="946"/>
      <c r="H52" s="946"/>
      <c r="I52" s="946"/>
      <c r="J52" s="946"/>
      <c r="K52" s="985"/>
      <c r="L52" s="985"/>
      <c r="M52" s="985"/>
      <c r="N52" s="985"/>
      <c r="O52" s="985"/>
      <c r="P52" s="985"/>
      <c r="Q52" s="985"/>
    </row>
    <row r="53" spans="1:17" ht="15.75">
      <c r="A53" s="582" t="str">
        <f>'Devel. Bud'!A50</f>
        <v>Mortgage Recording Tax</v>
      </c>
      <c r="B53" s="583" t="s">
        <v>208</v>
      </c>
      <c r="C53" s="584">
        <f>'Devel. Bud'!D50</f>
        <v>0</v>
      </c>
      <c r="D53" s="590"/>
      <c r="F53" s="989"/>
      <c r="G53" s="946"/>
      <c r="H53" s="946"/>
      <c r="I53" s="946"/>
      <c r="J53" s="946"/>
      <c r="K53" s="141"/>
      <c r="L53" s="141"/>
      <c r="M53" s="141"/>
      <c r="N53" s="141"/>
      <c r="O53" s="141"/>
      <c r="P53" s="141"/>
      <c r="Q53" s="141"/>
    </row>
    <row r="54" spans="1:17" ht="15.75">
      <c r="A54" s="582" t="str">
        <f>'Devel. Bud'!A51</f>
        <v>Water/Sewer &amp; Real Estate Taxes</v>
      </c>
      <c r="B54" s="583" t="s">
        <v>209</v>
      </c>
      <c r="C54" s="584">
        <f>'Devel. Bud'!D51</f>
        <v>0</v>
      </c>
      <c r="D54" s="588">
        <f>IF(B54="Y",(C54*$H$9),0)</f>
        <v>0</v>
      </c>
      <c r="F54" s="947"/>
      <c r="G54" s="946"/>
      <c r="H54" s="946"/>
      <c r="I54" s="946"/>
      <c r="J54" s="946"/>
      <c r="K54" s="141"/>
      <c r="L54" s="141"/>
      <c r="M54" s="141"/>
      <c r="N54" s="141"/>
      <c r="O54" s="141"/>
      <c r="P54" s="141"/>
      <c r="Q54" s="141"/>
    </row>
    <row r="55" spans="1:17" ht="15.75">
      <c r="A55" s="582" t="str">
        <f>'Devel. Bud'!A52</f>
        <v>Utilities</v>
      </c>
      <c r="B55" s="583" t="s">
        <v>209</v>
      </c>
      <c r="C55" s="584">
        <f>'Devel. Bud'!D52</f>
        <v>0</v>
      </c>
      <c r="D55" s="588">
        <f>IF(B55="Y",(C55*$H$9),0)</f>
        <v>0</v>
      </c>
      <c r="F55" s="947"/>
      <c r="G55" s="946"/>
      <c r="H55" s="946"/>
      <c r="I55" s="946"/>
      <c r="J55" s="946"/>
      <c r="K55" s="141"/>
      <c r="L55" s="141"/>
      <c r="M55" s="141"/>
      <c r="N55" s="141"/>
      <c r="O55" s="141"/>
      <c r="P55" s="141"/>
      <c r="Q55" s="141"/>
    </row>
    <row r="56" spans="1:17" ht="15.75">
      <c r="A56" s="582" t="str">
        <f>'Devel. Bud'!A53</f>
        <v>Insurance</v>
      </c>
      <c r="B56" s="583" t="s">
        <v>209</v>
      </c>
      <c r="C56" s="584">
        <f>'Devel. Bud'!D53</f>
        <v>54000</v>
      </c>
      <c r="D56" s="588">
        <f>IF(B56="Y",(C56*$H$9),0)</f>
        <v>53460</v>
      </c>
      <c r="F56" s="947"/>
      <c r="G56" s="946"/>
      <c r="H56" s="946"/>
      <c r="I56" s="946"/>
      <c r="J56" s="946"/>
      <c r="K56" s="141"/>
      <c r="L56" s="141"/>
      <c r="M56" s="141"/>
      <c r="N56" s="141"/>
      <c r="O56" s="141"/>
      <c r="P56" s="141"/>
      <c r="Q56" s="141"/>
    </row>
    <row r="57" spans="1:17" ht="15.75">
      <c r="A57" s="582" t="str">
        <f>'Devel. Bud'!A54</f>
        <v>Marketing</v>
      </c>
      <c r="B57" s="583" t="s">
        <v>208</v>
      </c>
      <c r="C57" s="584">
        <f>'Devel. Bud'!D54</f>
        <v>262500</v>
      </c>
      <c r="D57" s="590"/>
      <c r="F57" s="989"/>
      <c r="G57" s="946"/>
      <c r="H57" s="946"/>
      <c r="I57" s="946"/>
      <c r="J57" s="946"/>
      <c r="K57" s="141"/>
      <c r="L57" s="141"/>
      <c r="M57" s="141"/>
      <c r="N57" s="141"/>
      <c r="O57" s="141"/>
      <c r="P57" s="141"/>
      <c r="Q57" s="141"/>
    </row>
    <row r="58" spans="1:17" ht="15.75">
      <c r="A58" s="582" t="str">
        <f>'Devel. Bud'!A55</f>
        <v>Security</v>
      </c>
      <c r="B58" s="583" t="s">
        <v>209</v>
      </c>
      <c r="C58" s="584">
        <f>'Devel. Bud'!D55</f>
        <v>0</v>
      </c>
      <c r="D58" s="588">
        <f>IF(B58="Y",(C58*$H$9),0)</f>
        <v>0</v>
      </c>
      <c r="F58" s="947"/>
      <c r="G58" s="946"/>
      <c r="H58" s="946"/>
      <c r="I58" s="946"/>
      <c r="J58" s="946"/>
      <c r="K58" s="141"/>
      <c r="L58" s="141"/>
      <c r="M58" s="141"/>
      <c r="N58" s="141"/>
      <c r="O58" s="141"/>
      <c r="P58" s="141"/>
      <c r="Q58" s="141"/>
    </row>
    <row r="59" spans="1:17" ht="15.75">
      <c r="A59" s="585" t="str">
        <f>'Devel. Bud'!A57</f>
        <v>Subtotal</v>
      </c>
      <c r="B59" s="586"/>
      <c r="C59" s="579">
        <f ca="1">'Devel. Bud'!D57</f>
        <v>3824766.6242385572</v>
      </c>
      <c r="D59" s="580">
        <f ca="1">SUM(D51:D58)</f>
        <v>1615690.4619439659</v>
      </c>
      <c r="F59" s="947"/>
      <c r="G59" s="946"/>
      <c r="H59" s="946"/>
      <c r="I59" s="946"/>
      <c r="J59" s="946"/>
      <c r="K59" s="141"/>
      <c r="L59" s="141"/>
      <c r="M59" s="141"/>
      <c r="N59" s="141"/>
      <c r="O59" s="141"/>
      <c r="P59" s="141"/>
      <c r="Q59" s="141"/>
    </row>
    <row r="60" spans="1:17" ht="15.75">
      <c r="A60" s="582"/>
      <c r="B60" s="583"/>
      <c r="C60" s="584"/>
      <c r="D60" s="589"/>
      <c r="F60" s="947"/>
      <c r="G60" s="946"/>
      <c r="H60" s="946"/>
      <c r="I60" s="946"/>
      <c r="J60" s="946"/>
      <c r="K60" s="141"/>
      <c r="L60" s="141"/>
      <c r="M60" s="141"/>
      <c r="N60" s="141"/>
      <c r="O60" s="141"/>
      <c r="P60" s="141"/>
      <c r="Q60" s="141"/>
    </row>
    <row r="61" spans="1:17" ht="15.75">
      <c r="A61" s="581" t="str">
        <f>'Devel. Bud'!A59</f>
        <v>Reserves and Contingency</v>
      </c>
      <c r="B61" s="583"/>
      <c r="C61" s="584"/>
      <c r="D61" s="589"/>
      <c r="F61" s="947"/>
      <c r="G61" s="946"/>
      <c r="H61" s="946"/>
      <c r="I61" s="946"/>
      <c r="J61" s="946"/>
      <c r="K61" s="141"/>
      <c r="L61" s="141"/>
      <c r="M61" s="141"/>
      <c r="N61" s="141"/>
      <c r="O61" s="141"/>
      <c r="P61" s="141"/>
      <c r="Q61" s="141"/>
    </row>
    <row r="62" spans="1:17" ht="15.75">
      <c r="A62" s="582" t="str">
        <f>'Devel. Bud'!A61</f>
        <v>Social Service Reserve</v>
      </c>
      <c r="B62" s="583" t="s">
        <v>208</v>
      </c>
      <c r="C62" s="584">
        <f>'Devel. Bud'!D61</f>
        <v>0</v>
      </c>
      <c r="D62" s="590"/>
      <c r="F62" s="947"/>
      <c r="G62" s="946"/>
      <c r="H62" s="946"/>
      <c r="I62" s="946"/>
      <c r="J62" s="946"/>
      <c r="K62" s="141"/>
      <c r="L62" s="141"/>
      <c r="M62" s="141"/>
      <c r="N62" s="141"/>
      <c r="O62" s="141"/>
      <c r="P62" s="141"/>
      <c r="Q62" s="141"/>
    </row>
    <row r="63" spans="1:17" ht="15.75">
      <c r="A63" s="582" t="str">
        <f>'Devel. Bud'!A62</f>
        <v>Capitalized Operating Reserve</v>
      </c>
      <c r="B63" s="583" t="s">
        <v>208</v>
      </c>
      <c r="C63" s="584">
        <f>'Devel. Bud'!D62</f>
        <v>961024.66260869568</v>
      </c>
      <c r="D63" s="590"/>
      <c r="F63" s="947"/>
      <c r="G63" s="946"/>
      <c r="H63" s="946"/>
      <c r="I63" s="946"/>
      <c r="J63" s="946"/>
      <c r="K63" s="141"/>
      <c r="L63" s="141"/>
      <c r="M63" s="141"/>
      <c r="N63" s="141"/>
      <c r="O63" s="141"/>
      <c r="P63" s="141"/>
      <c r="Q63" s="141"/>
    </row>
    <row r="64" spans="1:17" ht="15.75">
      <c r="A64" s="582" t="str">
        <f>'Devel. Bud'!A63</f>
        <v>Additional Operating Reserve (if applicable)</v>
      </c>
      <c r="B64" s="583" t="s">
        <v>208</v>
      </c>
      <c r="C64" s="584">
        <f>'Devel. Bud'!D63</f>
        <v>0</v>
      </c>
      <c r="D64" s="590"/>
      <c r="F64" s="947"/>
      <c r="G64" s="946"/>
      <c r="H64" s="946"/>
      <c r="I64" s="946"/>
      <c r="J64" s="946"/>
      <c r="K64" s="141"/>
      <c r="L64" s="141"/>
      <c r="M64" s="141"/>
      <c r="N64" s="141"/>
      <c r="O64" s="141"/>
      <c r="P64" s="141"/>
      <c r="Q64" s="141"/>
    </row>
    <row r="65" spans="1:17" s="122" customFormat="1" ht="15.75">
      <c r="A65" s="582" t="str">
        <f>'Devel. Bud'!A64</f>
        <v>Soft Cost Contingency</v>
      </c>
      <c r="B65" s="583" t="s">
        <v>209</v>
      </c>
      <c r="C65" s="584">
        <f>'Devel. Bud'!D64</f>
        <v>245000</v>
      </c>
      <c r="D65" s="588">
        <f>IF(B65="Y",((C65*0.5)*$H$9),0)</f>
        <v>121275</v>
      </c>
      <c r="F65" s="991"/>
      <c r="G65" s="946"/>
      <c r="H65" s="946"/>
      <c r="I65" s="946"/>
      <c r="J65" s="946"/>
      <c r="K65" s="709"/>
      <c r="L65" s="709"/>
      <c r="M65" s="709"/>
      <c r="N65" s="709"/>
      <c r="O65" s="709"/>
      <c r="P65" s="709"/>
      <c r="Q65" s="709"/>
    </row>
    <row r="66" spans="1:17" ht="15.75">
      <c r="A66" s="582"/>
      <c r="B66" s="583"/>
      <c r="C66" s="584"/>
      <c r="D66" s="589"/>
      <c r="F66" s="989"/>
      <c r="G66" s="946"/>
      <c r="H66" s="946"/>
      <c r="I66" s="946"/>
      <c r="J66" s="946"/>
      <c r="K66" s="141"/>
      <c r="L66" s="141"/>
      <c r="M66" s="141"/>
      <c r="N66" s="141"/>
      <c r="O66" s="141"/>
      <c r="P66" s="141"/>
      <c r="Q66" s="141"/>
    </row>
    <row r="67" spans="1:17" ht="15.75">
      <c r="A67" s="370" t="str">
        <f>'Devel. Bud'!A65</f>
        <v>Subtotal</v>
      </c>
      <c r="B67" s="351"/>
      <c r="C67" s="367">
        <f>'Devel. Bud'!D65</f>
        <v>1306024.6626086957</v>
      </c>
      <c r="D67" s="368">
        <f>SUM(D61:D66)</f>
        <v>121275</v>
      </c>
      <c r="F67" s="947"/>
      <c r="G67" s="946"/>
      <c r="H67" s="946"/>
      <c r="I67" s="946"/>
      <c r="J67" s="946"/>
      <c r="K67" s="141"/>
      <c r="L67" s="141"/>
      <c r="M67" s="141"/>
      <c r="N67" s="141"/>
      <c r="O67" s="141"/>
      <c r="P67" s="141"/>
      <c r="Q67" s="141"/>
    </row>
    <row r="68" spans="1:17" ht="15.75">
      <c r="A68" s="365"/>
      <c r="B68" s="351"/>
      <c r="C68" s="318"/>
      <c r="D68" s="364"/>
      <c r="F68" s="947"/>
      <c r="G68" s="946"/>
      <c r="H68" s="946"/>
      <c r="I68" s="946"/>
      <c r="J68" s="946"/>
      <c r="K68" s="141"/>
      <c r="L68" s="141"/>
      <c r="M68" s="141"/>
      <c r="N68" s="141"/>
      <c r="O68" s="141"/>
      <c r="P68" s="141"/>
      <c r="Q68" s="141"/>
    </row>
    <row r="69" spans="1:17" ht="15.75">
      <c r="A69" s="363" t="str">
        <f>'Devel. Bud'!A67</f>
        <v>Total Soft Costs</v>
      </c>
      <c r="B69" s="351"/>
      <c r="C69" s="367">
        <f ca="1">'Devel. Bud'!D67</f>
        <v>8893974.8512661029</v>
      </c>
      <c r="D69" s="368">
        <f ca="1">D37+D48+D59+D67</f>
        <v>4420058.3092365768</v>
      </c>
      <c r="F69" s="933"/>
      <c r="G69" s="700"/>
      <c r="H69" s="700"/>
      <c r="I69" s="700"/>
      <c r="J69" s="700"/>
    </row>
    <row r="70" spans="1:17">
      <c r="A70" s="365"/>
      <c r="B70" s="351"/>
      <c r="C70" s="318"/>
      <c r="D70" s="364"/>
      <c r="F70" s="700"/>
      <c r="G70" s="700"/>
      <c r="H70" s="700"/>
      <c r="I70" s="700"/>
      <c r="J70" s="700"/>
    </row>
    <row r="71" spans="1:17" ht="15.75">
      <c r="A71" s="369" t="str">
        <f>'Devel. Bud'!A69</f>
        <v>Developer's Fee</v>
      </c>
      <c r="B71" s="351" t="s">
        <v>209</v>
      </c>
      <c r="C71" s="551">
        <f ca="1">'Devel. Bud'!D69</f>
        <v>4312554.0226388881</v>
      </c>
      <c r="D71" s="484">
        <f ca="1">IF(B71="Y",(C71*$H$9),0)</f>
        <v>4269428.4824124994</v>
      </c>
    </row>
    <row r="72" spans="1:17">
      <c r="A72" s="365"/>
      <c r="B72" s="351"/>
      <c r="C72" s="318"/>
      <c r="D72" s="364"/>
    </row>
    <row r="73" spans="1:17" ht="15.75">
      <c r="A73" s="371" t="str">
        <f>'Devel. Bud'!A72</f>
        <v>Total Development Cost:</v>
      </c>
      <c r="B73" s="372"/>
      <c r="C73" s="378">
        <f ca="1">'Devel. Bud'!D72</f>
        <v>45348528.873904988</v>
      </c>
      <c r="D73" s="515">
        <f ca="1">D19+D69+D71</f>
        <v>36755986.791649081</v>
      </c>
      <c r="F73" s="1339"/>
    </row>
    <row r="75" spans="1:17">
      <c r="D75" s="1020">
        <f ca="1">D73/H2</f>
        <v>367559.86791649082</v>
      </c>
      <c r="E75" s="598" t="s">
        <v>19</v>
      </c>
      <c r="F75" s="598"/>
    </row>
    <row r="76" spans="1:17">
      <c r="D76" s="591"/>
    </row>
    <row r="77" spans="1:17">
      <c r="D77" s="601" t="s">
        <v>433</v>
      </c>
      <c r="E77" s="601"/>
      <c r="F77" s="601"/>
      <c r="G77" s="601"/>
      <c r="H77" s="601"/>
    </row>
    <row r="78" spans="1:17">
      <c r="D78" s="601" t="s">
        <v>434</v>
      </c>
      <c r="E78" s="601"/>
      <c r="F78" s="601"/>
      <c r="G78" s="601"/>
      <c r="H78" s="601"/>
    </row>
  </sheetData>
  <phoneticPr fontId="30" type="noConversion"/>
  <pageMargins left="0.5" right="0.5" top="1" bottom="1" header="0.5" footer="0.5"/>
  <pageSetup scale="57" firstPageNumber="213" orientation="portrait" useFirstPageNumber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1" tint="4.9989318521683403E-2"/>
    <pageSetUpPr fitToPage="1"/>
  </sheetPr>
  <dimension ref="A1:S99"/>
  <sheetViews>
    <sheetView defaultGridColor="0" topLeftCell="A46" colorId="22" zoomScale="75" zoomScaleNormal="75" workbookViewId="0">
      <selection activeCell="E30" sqref="E30"/>
    </sheetView>
  </sheetViews>
  <sheetFormatPr defaultColWidth="9.77734375" defaultRowHeight="15"/>
  <cols>
    <col min="1" max="1" width="17.33203125" style="84" customWidth="1"/>
    <col min="2" max="2" width="13" style="84" customWidth="1"/>
    <col min="3" max="3" width="14.88671875" style="84" customWidth="1"/>
    <col min="4" max="4" width="13.109375" style="84" customWidth="1"/>
    <col min="5" max="8" width="11.77734375" style="84" customWidth="1"/>
    <col min="9" max="9" width="13.109375" style="84" customWidth="1"/>
    <col min="10" max="10" width="9.77734375" style="84"/>
    <col min="11" max="11" width="11.33203125" style="84" bestFit="1" customWidth="1"/>
    <col min="12" max="12" width="11.21875" style="84" customWidth="1"/>
    <col min="13" max="16384" width="9.77734375" style="84"/>
  </cols>
  <sheetData>
    <row r="1" spans="1:14" ht="15.75">
      <c r="A1" s="180" t="str">
        <f>'Sources and Uses'!A1</f>
        <v>Homeless Development Model E- permanent</v>
      </c>
      <c r="B1" s="155"/>
      <c r="C1" s="188"/>
      <c r="D1" s="188"/>
      <c r="E1" s="188"/>
      <c r="H1" s="180"/>
      <c r="I1" s="180"/>
      <c r="J1" s="188"/>
      <c r="K1" s="188"/>
      <c r="L1" s="188"/>
      <c r="M1" s="188"/>
      <c r="N1" s="188"/>
    </row>
    <row r="2" spans="1:14" ht="15.75">
      <c r="A2" s="180" t="str">
        <f>'Sources and Uses'!A2</f>
        <v>4% LIHTC, HPD/HDC ELLA, DHS</v>
      </c>
      <c r="B2" s="155"/>
      <c r="C2" s="188"/>
      <c r="D2" s="188"/>
      <c r="E2" s="605"/>
      <c r="F2" s="593"/>
      <c r="H2" s="180" t="str">
        <f>'Sources and Uses'!C2</f>
        <v>Units:</v>
      </c>
      <c r="I2" s="457">
        <f>B23</f>
        <v>56</v>
      </c>
      <c r="J2" s="188"/>
      <c r="K2" s="188"/>
      <c r="L2" s="188"/>
      <c r="M2" s="188"/>
      <c r="N2" s="188"/>
    </row>
    <row r="3" spans="1:14" ht="15.75" thickBot="1">
      <c r="A3" s="231"/>
      <c r="B3" s="231"/>
      <c r="C3" s="231"/>
      <c r="D3" s="231"/>
      <c r="E3" s="231"/>
      <c r="F3" s="231"/>
      <c r="G3" s="231"/>
      <c r="H3" s="231"/>
      <c r="I3" s="231"/>
      <c r="J3" s="188"/>
      <c r="K3" s="188"/>
      <c r="L3" s="188"/>
      <c r="M3" s="188"/>
      <c r="N3" s="188"/>
    </row>
    <row r="4" spans="1:14" ht="18.75" customHeight="1" thickTop="1">
      <c r="A4" s="243" t="s">
        <v>128</v>
      </c>
      <c r="B4" s="173" t="s">
        <v>343</v>
      </c>
      <c r="C4" s="188"/>
      <c r="D4" s="488" t="s">
        <v>340</v>
      </c>
      <c r="E4" s="488" t="s">
        <v>341</v>
      </c>
      <c r="F4" s="489"/>
      <c r="G4" s="155"/>
      <c r="H4" s="188"/>
      <c r="I4" s="241"/>
      <c r="J4" s="188"/>
      <c r="K4" s="188"/>
      <c r="L4" s="188"/>
      <c r="M4" s="188"/>
      <c r="N4" s="188"/>
    </row>
    <row r="5" spans="1:14" ht="15.75">
      <c r="A5" s="247">
        <f>B5/$B$9</f>
        <v>0.98972474194557403</v>
      </c>
      <c r="B5" s="534">
        <v>63283</v>
      </c>
      <c r="C5" s="655" t="s">
        <v>336</v>
      </c>
      <c r="D5" s="656">
        <f>E5/B5</f>
        <v>0.85586966483889826</v>
      </c>
      <c r="E5" s="657">
        <v>54162</v>
      </c>
      <c r="F5" s="490"/>
      <c r="G5" s="155"/>
      <c r="H5" s="188"/>
      <c r="I5" s="237"/>
      <c r="J5" s="188"/>
      <c r="K5" s="188"/>
      <c r="L5" s="188"/>
      <c r="M5" s="188"/>
      <c r="N5" s="188"/>
    </row>
    <row r="6" spans="1:14" ht="15.75" hidden="1">
      <c r="A6" s="247">
        <f>B6/$B$9</f>
        <v>0</v>
      </c>
      <c r="B6" s="534">
        <v>0</v>
      </c>
      <c r="C6" s="655" t="s">
        <v>337</v>
      </c>
      <c r="D6" s="656">
        <v>0</v>
      </c>
      <c r="E6" s="657">
        <f>D6*B6</f>
        <v>0</v>
      </c>
      <c r="F6" s="490"/>
      <c r="G6" s="155"/>
      <c r="H6" s="188"/>
      <c r="I6" s="237"/>
      <c r="J6" s="188"/>
      <c r="K6" s="188"/>
      <c r="L6" s="188"/>
      <c r="M6" s="188"/>
      <c r="N6" s="188"/>
    </row>
    <row r="7" spans="1:14" ht="15.75">
      <c r="A7" s="247">
        <f>B7/$B$9</f>
        <v>1.0275258054426025E-2</v>
      </c>
      <c r="B7" s="534">
        <v>657</v>
      </c>
      <c r="C7" s="655" t="s">
        <v>338</v>
      </c>
      <c r="D7" s="656">
        <v>1</v>
      </c>
      <c r="E7" s="657">
        <f>D7*B7</f>
        <v>657</v>
      </c>
      <c r="F7" s="490"/>
      <c r="G7" s="155"/>
      <c r="H7" s="188"/>
      <c r="I7" s="237"/>
      <c r="J7" s="188"/>
      <c r="K7" s="188"/>
      <c r="L7" s="188"/>
      <c r="M7" s="188"/>
      <c r="N7" s="188"/>
    </row>
    <row r="8" spans="1:14">
      <c r="A8" s="247">
        <f>B8/$B$9</f>
        <v>0</v>
      </c>
      <c r="B8" s="658">
        <v>0</v>
      </c>
      <c r="C8" s="659" t="s">
        <v>339</v>
      </c>
      <c r="D8" s="660">
        <v>0</v>
      </c>
      <c r="E8" s="661">
        <f>D8*B8</f>
        <v>0</v>
      </c>
      <c r="F8" s="655" t="s">
        <v>380</v>
      </c>
      <c r="G8" s="155"/>
      <c r="H8" s="188"/>
      <c r="I8" s="237"/>
      <c r="J8" s="188"/>
      <c r="K8" s="188"/>
      <c r="L8" s="188"/>
      <c r="M8" s="188"/>
      <c r="N8" s="188"/>
    </row>
    <row r="9" spans="1:14" ht="15.75">
      <c r="A9" s="248"/>
      <c r="B9" s="509">
        <f>SUM(B5:B8)</f>
        <v>63940</v>
      </c>
      <c r="C9" s="192" t="s">
        <v>344</v>
      </c>
      <c r="D9" s="491"/>
      <c r="E9" s="491">
        <f>SUM(E5:E8)</f>
        <v>54819</v>
      </c>
      <c r="F9" s="492" t="s">
        <v>342</v>
      </c>
      <c r="G9" s="155"/>
      <c r="H9" s="188"/>
      <c r="I9" s="237"/>
      <c r="J9" s="188"/>
      <c r="K9" s="188"/>
      <c r="L9" s="188"/>
      <c r="M9" s="188"/>
      <c r="N9" s="188"/>
    </row>
    <row r="10" spans="1:14" ht="15.75">
      <c r="A10" s="240"/>
      <c r="B10" s="173"/>
      <c r="D10" s="190"/>
      <c r="E10" s="337"/>
      <c r="F10" s="192"/>
      <c r="G10" s="155"/>
      <c r="H10" s="188"/>
      <c r="I10" s="237"/>
      <c r="J10" s="188"/>
      <c r="K10" s="188"/>
      <c r="L10" s="188"/>
      <c r="M10" s="188"/>
      <c r="N10" s="188"/>
    </row>
    <row r="11" spans="1:14" ht="15.75">
      <c r="A11" s="249"/>
      <c r="B11" s="250"/>
      <c r="C11" s="251"/>
      <c r="D11" s="252"/>
      <c r="E11" s="252"/>
      <c r="F11" s="338"/>
      <c r="G11" s="339"/>
      <c r="H11" s="242"/>
      <c r="I11" s="238"/>
      <c r="J11" s="188"/>
      <c r="K11" s="188"/>
      <c r="L11" s="188"/>
      <c r="M11" s="188"/>
      <c r="N11" s="188"/>
    </row>
    <row r="12" spans="1:14" ht="16.5" thickBot="1">
      <c r="A12" s="232"/>
      <c r="B12" s="233"/>
      <c r="C12" s="234"/>
      <c r="D12" s="235"/>
      <c r="E12" s="236"/>
      <c r="F12" s="214"/>
      <c r="G12" s="214"/>
      <c r="H12" s="231"/>
      <c r="I12" s="231"/>
      <c r="J12" s="188"/>
      <c r="K12" s="188"/>
      <c r="L12" s="188"/>
      <c r="M12" s="188"/>
      <c r="N12" s="188"/>
    </row>
    <row r="13" spans="1:14" ht="16.5" thickTop="1">
      <c r="A13" s="243" t="s">
        <v>120</v>
      </c>
      <c r="B13" s="173"/>
      <c r="C13" s="191"/>
      <c r="D13" s="190"/>
      <c r="E13" s="335"/>
      <c r="F13" s="188"/>
      <c r="G13" s="155"/>
      <c r="H13" s="188"/>
      <c r="I13" s="241"/>
      <c r="J13" s="188"/>
      <c r="K13" s="188"/>
      <c r="L13" s="188"/>
      <c r="M13" s="188"/>
      <c r="N13" s="188"/>
    </row>
    <row r="14" spans="1:14" ht="15" customHeight="1">
      <c r="A14" s="244"/>
      <c r="B14" s="173"/>
      <c r="C14" s="173"/>
      <c r="D14" s="173"/>
      <c r="E14" s="190" t="s">
        <v>381</v>
      </c>
      <c r="F14" s="226"/>
      <c r="G14" s="155"/>
      <c r="H14" s="188"/>
      <c r="I14" s="237"/>
      <c r="J14" s="188"/>
      <c r="K14" s="188"/>
      <c r="L14" s="188"/>
      <c r="M14" s="188"/>
      <c r="N14" s="188"/>
    </row>
    <row r="15" spans="1:14" ht="15.75">
      <c r="A15" s="156"/>
      <c r="B15" s="172" t="s">
        <v>0</v>
      </c>
      <c r="C15" s="172" t="s">
        <v>64</v>
      </c>
      <c r="D15" s="172" t="s">
        <v>121</v>
      </c>
      <c r="E15" s="190" t="s">
        <v>182</v>
      </c>
      <c r="F15" s="226"/>
      <c r="G15" s="173"/>
      <c r="H15" s="173"/>
      <c r="I15" s="237"/>
      <c r="J15" s="188"/>
      <c r="K15" s="188"/>
      <c r="L15" s="188"/>
      <c r="M15" s="188"/>
      <c r="N15" s="188"/>
    </row>
    <row r="16" spans="1:14" ht="15.75">
      <c r="A16" s="239" t="s">
        <v>63</v>
      </c>
      <c r="B16" s="451">
        <v>0</v>
      </c>
      <c r="C16" s="174">
        <v>2</v>
      </c>
      <c r="D16" s="174">
        <f>C16*B16</f>
        <v>0</v>
      </c>
      <c r="E16" s="534">
        <v>530</v>
      </c>
      <c r="F16" s="226"/>
      <c r="G16" s="173"/>
      <c r="I16" s="237"/>
      <c r="J16" s="188"/>
      <c r="K16" s="188"/>
      <c r="L16" s="188"/>
      <c r="M16" s="188"/>
      <c r="N16" s="188"/>
    </row>
    <row r="17" spans="1:14" ht="15.75">
      <c r="A17" s="239" t="s">
        <v>320</v>
      </c>
      <c r="B17" s="451">
        <v>18</v>
      </c>
      <c r="C17" s="174">
        <v>3</v>
      </c>
      <c r="D17" s="174">
        <f>B17*C17</f>
        <v>54</v>
      </c>
      <c r="E17" s="534">
        <v>686</v>
      </c>
      <c r="F17" s="226"/>
      <c r="G17" s="155"/>
      <c r="I17" s="237"/>
      <c r="J17" s="188"/>
      <c r="K17" s="188"/>
      <c r="L17" s="188"/>
      <c r="M17" s="188"/>
      <c r="N17" s="188"/>
    </row>
    <row r="18" spans="1:14" ht="15.75">
      <c r="A18" s="239" t="s">
        <v>321</v>
      </c>
      <c r="B18" s="451">
        <v>30</v>
      </c>
      <c r="C18" s="174">
        <v>4</v>
      </c>
      <c r="D18" s="175">
        <f>B18*C18</f>
        <v>120</v>
      </c>
      <c r="E18" s="534">
        <v>867</v>
      </c>
      <c r="F18" s="192"/>
      <c r="G18" s="155"/>
      <c r="I18" s="237"/>
      <c r="J18" s="188"/>
      <c r="K18" s="188"/>
      <c r="L18" s="188"/>
      <c r="M18" s="188"/>
      <c r="N18" s="188"/>
    </row>
    <row r="19" spans="1:14" ht="15.75">
      <c r="A19" s="239" t="s">
        <v>322</v>
      </c>
      <c r="B19" s="451">
        <v>8</v>
      </c>
      <c r="C19" s="174">
        <v>5</v>
      </c>
      <c r="D19" s="175">
        <f>C19*B19</f>
        <v>40</v>
      </c>
      <c r="E19" s="535">
        <v>1208</v>
      </c>
      <c r="F19" s="193"/>
      <c r="G19" s="155"/>
      <c r="I19" s="237"/>
      <c r="J19" s="188"/>
      <c r="K19" s="188"/>
      <c r="L19" s="188"/>
      <c r="M19" s="188"/>
      <c r="N19" s="188"/>
    </row>
    <row r="20" spans="1:14" ht="15.75">
      <c r="A20" s="239" t="s">
        <v>356</v>
      </c>
      <c r="B20" s="451">
        <v>0</v>
      </c>
      <c r="C20" s="174">
        <v>6</v>
      </c>
      <c r="D20" s="175">
        <f>C20*B20</f>
        <v>0</v>
      </c>
      <c r="E20" s="534">
        <v>1300</v>
      </c>
      <c r="F20" s="193"/>
      <c r="G20" s="155"/>
      <c r="I20" s="237"/>
      <c r="J20" s="188"/>
      <c r="K20" s="188"/>
      <c r="L20" s="188"/>
      <c r="M20" s="188"/>
      <c r="N20" s="188"/>
    </row>
    <row r="21" spans="1:14" ht="15.75">
      <c r="A21" s="456" t="s">
        <v>52</v>
      </c>
      <c r="B21" s="176">
        <f>SUM(B16:B20)</f>
        <v>56</v>
      </c>
      <c r="C21" s="176"/>
      <c r="D21" s="176">
        <f>SUM(D16:D19)</f>
        <v>214</v>
      </c>
      <c r="E21" s="188"/>
      <c r="F21" s="188"/>
      <c r="G21" s="155"/>
      <c r="H21" s="155"/>
      <c r="I21" s="237"/>
      <c r="J21" s="188"/>
      <c r="K21" s="188"/>
      <c r="L21" s="188"/>
      <c r="M21" s="188"/>
      <c r="N21" s="188"/>
    </row>
    <row r="22" spans="1:14" ht="15.75">
      <c r="A22" s="239" t="s">
        <v>77</v>
      </c>
      <c r="B22" s="388">
        <v>0</v>
      </c>
      <c r="C22" s="388">
        <v>4</v>
      </c>
      <c r="D22" s="227">
        <f>C22*B22</f>
        <v>0</v>
      </c>
      <c r="E22" s="534">
        <f>E18</f>
        <v>867</v>
      </c>
      <c r="F22" s="226"/>
      <c r="G22" s="155"/>
      <c r="H22" s="155"/>
      <c r="I22" s="237"/>
      <c r="J22" s="188"/>
      <c r="K22" s="188"/>
      <c r="L22" s="188"/>
      <c r="M22" s="188"/>
      <c r="N22" s="188"/>
    </row>
    <row r="23" spans="1:14" ht="15.75">
      <c r="A23" s="456" t="s">
        <v>1</v>
      </c>
      <c r="B23" s="176">
        <f>B22+B21</f>
        <v>56</v>
      </c>
      <c r="C23" s="177"/>
      <c r="D23" s="176">
        <f>SUM(D21:D22)</f>
        <v>214</v>
      </c>
      <c r="E23" s="190">
        <f>B16*E16+B17*E17+B18*E18+B19*E19+B20*E20+B22*E22</f>
        <v>48022</v>
      </c>
      <c r="F23" s="256" t="s">
        <v>382</v>
      </c>
      <c r="G23" s="155"/>
      <c r="H23" s="155"/>
      <c r="I23" s="237"/>
      <c r="J23" s="188"/>
      <c r="K23" s="188"/>
      <c r="L23" s="188"/>
      <c r="M23" s="188"/>
      <c r="N23" s="188"/>
    </row>
    <row r="24" spans="1:14">
      <c r="A24" s="245"/>
      <c r="B24" s="188"/>
      <c r="C24" s="188"/>
      <c r="D24" s="188"/>
      <c r="E24" s="336">
        <f>E23/B23</f>
        <v>857.53571428571433</v>
      </c>
      <c r="F24" s="257" t="s">
        <v>383</v>
      </c>
      <c r="G24" s="188"/>
      <c r="H24" s="188"/>
      <c r="I24" s="237"/>
      <c r="J24" s="188"/>
      <c r="K24" s="188"/>
      <c r="L24" s="188"/>
      <c r="M24" s="188"/>
      <c r="N24" s="188"/>
    </row>
    <row r="25" spans="1:14">
      <c r="A25" s="246"/>
      <c r="B25" s="242"/>
      <c r="C25" s="242"/>
      <c r="D25" s="242"/>
      <c r="E25" s="334"/>
      <c r="F25" s="334"/>
      <c r="G25" s="242"/>
      <c r="H25" s="242"/>
      <c r="I25" s="238"/>
      <c r="J25" s="188"/>
      <c r="K25" s="188"/>
      <c r="L25" s="188"/>
      <c r="M25" s="188"/>
      <c r="N25" s="188"/>
    </row>
    <row r="26" spans="1:14">
      <c r="B26" s="173"/>
      <c r="C26" s="173"/>
      <c r="D26" s="173"/>
      <c r="E26" s="155"/>
      <c r="F26" s="155"/>
      <c r="G26" s="155"/>
      <c r="H26" s="188"/>
      <c r="I26" s="332"/>
      <c r="J26" s="188"/>
      <c r="K26" s="188"/>
      <c r="L26" s="188"/>
      <c r="M26" s="188"/>
      <c r="N26" s="188"/>
    </row>
    <row r="27" spans="1:14" ht="16.5" thickBot="1">
      <c r="A27" s="189"/>
      <c r="B27" s="233"/>
      <c r="C27" s="233"/>
      <c r="D27" s="233"/>
      <c r="E27" s="214"/>
      <c r="F27" s="214"/>
      <c r="G27" s="214"/>
      <c r="H27" s="231"/>
      <c r="I27" s="231"/>
      <c r="J27" s="188"/>
      <c r="K27" s="188"/>
      <c r="L27" s="188"/>
      <c r="M27" s="188"/>
      <c r="N27" s="188"/>
    </row>
    <row r="28" spans="1:14" ht="16.5" thickTop="1">
      <c r="A28" s="253" t="s">
        <v>350</v>
      </c>
      <c r="B28" s="194"/>
      <c r="C28" s="155"/>
      <c r="D28" s="155"/>
      <c r="E28" s="333"/>
      <c r="F28" s="155"/>
      <c r="G28" s="155"/>
      <c r="H28" s="188"/>
      <c r="I28" s="241"/>
      <c r="J28" s="188"/>
      <c r="K28" s="188"/>
      <c r="L28" s="188"/>
      <c r="M28" s="188"/>
      <c r="N28" s="188"/>
    </row>
    <row r="29" spans="1:14" s="228" customFormat="1" ht="30" customHeight="1">
      <c r="A29" s="254"/>
      <c r="B29" s="178" t="s">
        <v>2</v>
      </c>
      <c r="C29" s="459" t="s">
        <v>3</v>
      </c>
      <c r="D29" s="178" t="s">
        <v>4</v>
      </c>
      <c r="E29" s="195"/>
      <c r="F29" s="195"/>
      <c r="G29" s="195"/>
      <c r="H29" s="197"/>
      <c r="I29" s="340"/>
      <c r="J29" s="197"/>
      <c r="K29" s="197"/>
      <c r="L29" s="197"/>
      <c r="M29" s="197"/>
      <c r="N29" s="197"/>
    </row>
    <row r="30" spans="1:14">
      <c r="A30" s="239" t="s">
        <v>109</v>
      </c>
      <c r="B30" s="388">
        <v>0</v>
      </c>
      <c r="C30" s="414">
        <v>0</v>
      </c>
      <c r="D30" s="83">
        <f>B30*C30*12</f>
        <v>0</v>
      </c>
      <c r="E30" s="155"/>
      <c r="F30" s="155"/>
      <c r="G30" s="155"/>
      <c r="H30" s="188"/>
      <c r="I30" s="237"/>
      <c r="J30" s="188"/>
      <c r="K30" s="188"/>
      <c r="L30" s="188"/>
      <c r="M30" s="188"/>
      <c r="N30" s="188"/>
    </row>
    <row r="31" spans="1:14">
      <c r="A31" s="239"/>
      <c r="B31" s="194"/>
      <c r="C31" s="196"/>
      <c r="D31" s="83"/>
      <c r="E31" s="155"/>
      <c r="F31" s="155"/>
      <c r="G31" s="155"/>
      <c r="H31" s="188"/>
      <c r="I31" s="237"/>
      <c r="J31" s="188"/>
      <c r="K31" s="188"/>
      <c r="L31" s="188"/>
      <c r="M31" s="188"/>
      <c r="N31" s="188"/>
    </row>
    <row r="32" spans="1:14" s="228" customFormat="1" ht="30.75" customHeight="1">
      <c r="A32" s="255"/>
      <c r="B32" s="460" t="s">
        <v>5</v>
      </c>
      <c r="C32" s="461" t="s">
        <v>6</v>
      </c>
      <c r="D32" s="178" t="s">
        <v>4</v>
      </c>
      <c r="E32" s="195"/>
      <c r="F32" s="229"/>
      <c r="G32" s="195"/>
      <c r="H32" s="197"/>
      <c r="I32" s="340"/>
      <c r="J32" s="197"/>
      <c r="K32" s="197"/>
      <c r="L32" s="197"/>
      <c r="M32" s="197"/>
      <c r="N32" s="197"/>
    </row>
    <row r="33" spans="1:19">
      <c r="A33" s="239" t="s">
        <v>83</v>
      </c>
      <c r="B33" s="416">
        <f>E6</f>
        <v>0</v>
      </c>
      <c r="C33" s="389">
        <v>0</v>
      </c>
      <c r="D33" s="83">
        <f>C33*B33</f>
        <v>0</v>
      </c>
      <c r="E33" s="196"/>
      <c r="F33" s="155"/>
      <c r="G33" s="155"/>
      <c r="H33" s="188"/>
      <c r="I33" s="237"/>
      <c r="J33" s="188"/>
      <c r="K33" s="188"/>
      <c r="L33" s="188"/>
      <c r="M33" s="188"/>
      <c r="N33" s="188"/>
    </row>
    <row r="34" spans="1:19" ht="32.25" customHeight="1">
      <c r="A34" s="239"/>
      <c r="B34" s="460" t="s">
        <v>5</v>
      </c>
      <c r="C34" s="461" t="s">
        <v>6</v>
      </c>
      <c r="D34" s="83"/>
      <c r="E34" s="196"/>
      <c r="F34" s="155"/>
      <c r="G34" s="155"/>
      <c r="H34" s="188"/>
      <c r="I34" s="237"/>
      <c r="J34" s="188"/>
      <c r="K34" s="188"/>
      <c r="L34" s="188"/>
      <c r="M34" s="188"/>
      <c r="N34" s="188"/>
    </row>
    <row r="35" spans="1:19">
      <c r="A35" s="239" t="s">
        <v>105</v>
      </c>
      <c r="B35" s="544">
        <f>B7</f>
        <v>657</v>
      </c>
      <c r="C35" s="530">
        <v>0</v>
      </c>
      <c r="D35" s="83">
        <f>C35*B35</f>
        <v>0</v>
      </c>
      <c r="E35" s="196"/>
      <c r="F35" s="155"/>
      <c r="G35" s="155"/>
      <c r="H35" s="188"/>
      <c r="I35" s="237"/>
      <c r="J35" s="188"/>
      <c r="K35" s="188"/>
      <c r="L35" s="188"/>
      <c r="M35" s="188"/>
      <c r="N35" s="188"/>
    </row>
    <row r="36" spans="1:19">
      <c r="A36" s="245"/>
      <c r="B36" s="188"/>
      <c r="C36" s="188"/>
      <c r="D36" s="188"/>
      <c r="E36" s="188"/>
      <c r="F36" s="188"/>
      <c r="G36" s="188"/>
      <c r="H36" s="188"/>
      <c r="I36" s="237"/>
      <c r="J36" s="188"/>
      <c r="K36" s="188"/>
      <c r="L36" s="188"/>
      <c r="M36" s="188"/>
      <c r="N36" s="188"/>
    </row>
    <row r="37" spans="1:19" s="228" customFormat="1" ht="15" customHeight="1">
      <c r="A37" s="254"/>
      <c r="B37" s="178" t="s">
        <v>7</v>
      </c>
      <c r="C37" s="178" t="s">
        <v>125</v>
      </c>
      <c r="D37" s="178" t="s">
        <v>4</v>
      </c>
      <c r="E37" s="195"/>
      <c r="F37" s="195"/>
      <c r="G37" s="197"/>
      <c r="H37" s="197"/>
      <c r="I37" s="340"/>
      <c r="J37" s="197"/>
      <c r="K37" s="197"/>
      <c r="L37" s="197"/>
      <c r="M37" s="197"/>
      <c r="N37" s="197"/>
    </row>
    <row r="38" spans="1:19">
      <c r="A38" s="239" t="s">
        <v>8</v>
      </c>
      <c r="B38" s="416">
        <f>+B23</f>
        <v>56</v>
      </c>
      <c r="C38" s="530">
        <v>70</v>
      </c>
      <c r="D38" s="83">
        <f>B38*C38</f>
        <v>3920</v>
      </c>
      <c r="E38" s="155"/>
      <c r="F38" s="155"/>
      <c r="G38" s="188"/>
      <c r="H38" s="188"/>
      <c r="I38" s="237"/>
      <c r="J38" s="188"/>
      <c r="K38" s="188"/>
      <c r="L38" s="188"/>
      <c r="M38" s="188"/>
      <c r="N38" s="188"/>
    </row>
    <row r="39" spans="1:19" ht="15.75">
      <c r="A39" s="245"/>
      <c r="B39" s="188"/>
      <c r="C39" s="198"/>
      <c r="D39" s="188"/>
      <c r="E39" s="188"/>
      <c r="F39" s="188"/>
      <c r="G39" s="188"/>
      <c r="H39" s="188"/>
      <c r="I39" s="237"/>
      <c r="J39" s="188"/>
      <c r="K39" s="188"/>
      <c r="L39" s="188"/>
      <c r="M39" s="188"/>
      <c r="N39" s="188"/>
      <c r="O39" s="180"/>
      <c r="P39" s="155"/>
      <c r="Q39" s="155"/>
      <c r="R39" s="155"/>
      <c r="S39" s="155"/>
    </row>
    <row r="40" spans="1:19" ht="15.75">
      <c r="A40" s="245" t="s">
        <v>388</v>
      </c>
      <c r="B40" s="155"/>
      <c r="C40" s="181" t="s">
        <v>123</v>
      </c>
      <c r="D40" s="182">
        <f>D38+D33+D30+D35</f>
        <v>3920</v>
      </c>
      <c r="E40" s="199">
        <f>D40/$I$95</f>
        <v>5.8621555983585961E-3</v>
      </c>
      <c r="F40" s="83"/>
      <c r="G40" s="188"/>
      <c r="H40" s="188"/>
      <c r="I40" s="237"/>
      <c r="J40" s="188"/>
      <c r="K40" s="188"/>
      <c r="L40" s="188"/>
      <c r="M40" s="188"/>
      <c r="N40" s="188"/>
      <c r="O40" s="180"/>
      <c r="P40" s="155"/>
      <c r="Q40" s="155"/>
      <c r="R40" s="155"/>
      <c r="S40" s="155"/>
    </row>
    <row r="41" spans="1:19" ht="15.75">
      <c r="A41" s="246"/>
      <c r="B41" s="242"/>
      <c r="C41" s="242"/>
      <c r="D41" s="242"/>
      <c r="E41" s="242"/>
      <c r="F41" s="216"/>
      <c r="G41" s="242"/>
      <c r="H41" s="242"/>
      <c r="I41" s="238"/>
      <c r="J41" s="188"/>
      <c r="K41" s="188"/>
      <c r="L41" s="188"/>
      <c r="M41" s="188"/>
      <c r="N41" s="188"/>
      <c r="O41" s="342"/>
      <c r="P41" s="178"/>
      <c r="Q41" s="178"/>
      <c r="R41" s="178"/>
      <c r="S41" s="343"/>
    </row>
    <row r="42" spans="1:19" ht="15.75" thickBot="1">
      <c r="B42" s="17"/>
      <c r="C42" s="17"/>
      <c r="D42" s="17"/>
      <c r="E42" s="17"/>
      <c r="F42" s="17"/>
      <c r="G42" s="43"/>
      <c r="H42" s="188"/>
      <c r="I42" s="188"/>
      <c r="J42" s="421"/>
      <c r="K42" s="421"/>
      <c r="L42" s="188"/>
      <c r="M42" s="188"/>
      <c r="N42" s="188"/>
      <c r="O42" s="155"/>
      <c r="P42" s="155"/>
      <c r="Q42" s="230"/>
      <c r="R42" s="83"/>
      <c r="S42" s="188"/>
    </row>
    <row r="43" spans="1:19" ht="16.5" thickTop="1">
      <c r="A43" s="253" t="s">
        <v>303</v>
      </c>
      <c r="B43" s="333"/>
      <c r="C43" s="333"/>
      <c r="D43" s="333"/>
      <c r="E43" s="333"/>
      <c r="F43" s="333"/>
      <c r="G43" s="333"/>
      <c r="H43" s="333"/>
      <c r="I43" s="241"/>
      <c r="J43"/>
      <c r="K43"/>
      <c r="L43"/>
      <c r="M43" s="188"/>
      <c r="N43" s="188"/>
      <c r="O43" s="181"/>
      <c r="P43" s="180"/>
      <c r="Q43" s="180"/>
      <c r="R43" s="344"/>
      <c r="S43" s="188"/>
    </row>
    <row r="44" spans="1:19" ht="30">
      <c r="F44" s="436"/>
      <c r="G44" s="332"/>
      <c r="H44" s="437" t="s">
        <v>289</v>
      </c>
      <c r="I44" s="438" t="s">
        <v>346</v>
      </c>
      <c r="J44" s="107"/>
      <c r="K44"/>
      <c r="L44"/>
    </row>
    <row r="45" spans="1:19" ht="15.75">
      <c r="A45" s="574" t="s">
        <v>384</v>
      </c>
      <c r="B45" s="575" t="s">
        <v>375</v>
      </c>
      <c r="C45" s="577">
        <v>83000</v>
      </c>
      <c r="D45" s="576" t="s">
        <v>287</v>
      </c>
      <c r="F45" s="439" t="s">
        <v>290</v>
      </c>
      <c r="G45" s="424" t="s">
        <v>291</v>
      </c>
      <c r="H45" s="648">
        <v>57</v>
      </c>
      <c r="I45" s="649">
        <v>16</v>
      </c>
      <c r="J45" s="106"/>
      <c r="K45"/>
      <c r="L45"/>
    </row>
    <row r="46" spans="1:19" ht="15.75">
      <c r="A46" s="442"/>
      <c r="B46" s="443"/>
      <c r="C46" s="338">
        <v>1543</v>
      </c>
      <c r="D46" s="444" t="s">
        <v>288</v>
      </c>
      <c r="E46" s="200"/>
      <c r="F46" s="439" t="s">
        <v>292</v>
      </c>
      <c r="G46" s="424" t="s">
        <v>293</v>
      </c>
      <c r="H46" s="648">
        <v>58</v>
      </c>
      <c r="I46" s="649">
        <v>17</v>
      </c>
      <c r="J46" s="106"/>
      <c r="K46"/>
      <c r="L46"/>
    </row>
    <row r="47" spans="1:19">
      <c r="E47" s="43"/>
      <c r="F47" s="439" t="s">
        <v>294</v>
      </c>
      <c r="G47" s="424" t="s">
        <v>295</v>
      </c>
      <c r="H47" s="648">
        <v>61</v>
      </c>
      <c r="I47" s="649">
        <v>17</v>
      </c>
      <c r="J47" s="422"/>
      <c r="K47"/>
      <c r="L47"/>
    </row>
    <row r="48" spans="1:19">
      <c r="A48" s="84" t="s">
        <v>327</v>
      </c>
      <c r="D48" s="478"/>
      <c r="F48" s="439" t="s">
        <v>296</v>
      </c>
      <c r="G48" s="424" t="s">
        <v>297</v>
      </c>
      <c r="H48" s="648">
        <v>77</v>
      </c>
      <c r="I48" s="649">
        <v>18</v>
      </c>
      <c r="J48" s="426"/>
      <c r="K48"/>
      <c r="L48"/>
    </row>
    <row r="49" spans="1:12">
      <c r="E49" s="425"/>
      <c r="F49" s="440" t="s">
        <v>352</v>
      </c>
      <c r="G49" s="441" t="s">
        <v>351</v>
      </c>
      <c r="H49" s="650">
        <v>79</v>
      </c>
      <c r="I49" s="651">
        <v>20</v>
      </c>
      <c r="J49" s="486"/>
      <c r="K49"/>
      <c r="L49"/>
    </row>
    <row r="50" spans="1:12">
      <c r="B50" s="136"/>
      <c r="C50" s="136"/>
      <c r="D50" s="453"/>
      <c r="E50" s="70"/>
      <c r="F50" s="415"/>
      <c r="G50" s="415"/>
      <c r="H50" s="415"/>
      <c r="I50" s="434"/>
      <c r="J50" s="415"/>
      <c r="K50"/>
      <c r="L50"/>
    </row>
    <row r="51" spans="1:12" ht="15.75">
      <c r="A51" s="495">
        <v>0.38</v>
      </c>
      <c r="B51" s="427" t="s">
        <v>306</v>
      </c>
      <c r="C51" s="428">
        <f>C45*A51</f>
        <v>31540</v>
      </c>
      <c r="D51" s="494"/>
      <c r="E51" s="43"/>
      <c r="F51" s="106"/>
      <c r="G51" s="106"/>
      <c r="H51" s="106"/>
      <c r="I51" s="435"/>
      <c r="J51" s="106"/>
      <c r="K51"/>
      <c r="L51"/>
    </row>
    <row r="52" spans="1:12" ht="30">
      <c r="A52" s="106" t="s">
        <v>307</v>
      </c>
      <c r="B52" s="424" t="s">
        <v>298</v>
      </c>
      <c r="C52" s="429" t="s">
        <v>299</v>
      </c>
      <c r="D52" s="43" t="s">
        <v>317</v>
      </c>
      <c r="E52" s="423" t="s">
        <v>300</v>
      </c>
      <c r="F52" s="519" t="s">
        <v>301</v>
      </c>
      <c r="G52" s="422" t="s">
        <v>302</v>
      </c>
      <c r="H52" s="422" t="s">
        <v>304</v>
      </c>
      <c r="I52" s="431" t="s">
        <v>305</v>
      </c>
      <c r="K52"/>
      <c r="L52"/>
    </row>
    <row r="53" spans="1:12">
      <c r="A53" s="424" t="s">
        <v>291</v>
      </c>
      <c r="B53" s="424">
        <v>1</v>
      </c>
      <c r="C53" s="430">
        <v>0.6</v>
      </c>
      <c r="D53" s="425">
        <f>$C$51*C53</f>
        <v>18924</v>
      </c>
      <c r="E53" s="426">
        <f>ROUNDDOWN(D53*0.3/12,0)</f>
        <v>473</v>
      </c>
      <c r="F53" s="455">
        <f>IF($D$48=1, H45, H45)*-1</f>
        <v>-57</v>
      </c>
      <c r="G53" s="426">
        <f>E53+F53</f>
        <v>416</v>
      </c>
      <c r="H53" s="516">
        <v>0</v>
      </c>
      <c r="I53" s="433">
        <f>G53*H53*12</f>
        <v>0</v>
      </c>
      <c r="J53" s="84" t="s">
        <v>335</v>
      </c>
      <c r="K53"/>
      <c r="L53"/>
    </row>
    <row r="54" spans="1:12">
      <c r="A54" s="424" t="s">
        <v>293</v>
      </c>
      <c r="B54" s="424">
        <v>1.5</v>
      </c>
      <c r="C54" s="430">
        <v>0.75</v>
      </c>
      <c r="D54" s="425">
        <f>$C$51*C54</f>
        <v>23655</v>
      </c>
      <c r="E54" s="426">
        <f>ROUNDDOWN(D54*0.3/12,0)</f>
        <v>591</v>
      </c>
      <c r="F54" s="455">
        <f>IF($D$48=1, H46, H46)*-1</f>
        <v>-58</v>
      </c>
      <c r="G54" s="426">
        <f>E54+F54</f>
        <v>533</v>
      </c>
      <c r="H54" s="516">
        <v>1</v>
      </c>
      <c r="I54" s="433">
        <f>G54*H54*12</f>
        <v>6396</v>
      </c>
      <c r="K54"/>
      <c r="L54"/>
    </row>
    <row r="55" spans="1:12">
      <c r="A55" s="424" t="s">
        <v>295</v>
      </c>
      <c r="B55" s="424">
        <v>3</v>
      </c>
      <c r="C55" s="430">
        <v>0.9</v>
      </c>
      <c r="D55" s="425">
        <f>$C$51*C55</f>
        <v>28386</v>
      </c>
      <c r="E55" s="426">
        <f>ROUNDDOWN(D55*0.3/12,0)</f>
        <v>709</v>
      </c>
      <c r="F55" s="455">
        <f>IF($D$48=1, H47, H47)*-1</f>
        <v>-61</v>
      </c>
      <c r="G55" s="426">
        <f>E55+F55</f>
        <v>648</v>
      </c>
      <c r="H55" s="516">
        <v>2</v>
      </c>
      <c r="I55" s="433">
        <f>G55*H55*12</f>
        <v>15552</v>
      </c>
      <c r="K55"/>
      <c r="L55"/>
    </row>
    <row r="56" spans="1:12">
      <c r="A56" s="424" t="s">
        <v>297</v>
      </c>
      <c r="B56" s="424">
        <v>4.5</v>
      </c>
      <c r="C56" s="430">
        <v>1.04</v>
      </c>
      <c r="D56" s="425">
        <f>$C$51*C56</f>
        <v>32801.599999999999</v>
      </c>
      <c r="E56" s="426">
        <f>ROUNDDOWN(D56*0.3/12,0)</f>
        <v>820</v>
      </c>
      <c r="F56" s="455">
        <f>IF($D$48=1, H48, H48)*-1</f>
        <v>-77</v>
      </c>
      <c r="G56" s="426">
        <f>E56+F56</f>
        <v>743</v>
      </c>
      <c r="H56" s="517">
        <v>1</v>
      </c>
      <c r="I56" s="433">
        <f>G56*H56*12</f>
        <v>8916</v>
      </c>
      <c r="K56"/>
      <c r="L56"/>
    </row>
    <row r="57" spans="1:12" ht="17.25">
      <c r="A57" s="424" t="s">
        <v>351</v>
      </c>
      <c r="B57" s="106">
        <v>6</v>
      </c>
      <c r="C57" s="430">
        <v>1.1599999999999999</v>
      </c>
      <c r="D57" s="425">
        <f>$C$51*C57</f>
        <v>36586.399999999994</v>
      </c>
      <c r="E57" s="426">
        <f>ROUNDDOWN(D57*0.3/12,0)</f>
        <v>914</v>
      </c>
      <c r="F57" s="455">
        <f>IF($D$48=1, H49, H49)*-1</f>
        <v>-79</v>
      </c>
      <c r="G57" s="426">
        <f>E57+F57</f>
        <v>835</v>
      </c>
      <c r="H57" s="518">
        <v>0</v>
      </c>
      <c r="I57" s="505">
        <f>G57*H57*12</f>
        <v>0</v>
      </c>
      <c r="J57" s="106"/>
      <c r="K57"/>
      <c r="L57"/>
    </row>
    <row r="58" spans="1:12">
      <c r="B58" s="415"/>
      <c r="C58" s="415"/>
      <c r="D58" s="415"/>
      <c r="E58" s="70"/>
      <c r="F58" s="415"/>
      <c r="G58" s="415"/>
      <c r="H58" s="506">
        <f>SUM(H53:H57)</f>
        <v>4</v>
      </c>
      <c r="I58" s="502">
        <f>SUM(I53:I57)</f>
        <v>30864</v>
      </c>
      <c r="J58" s="415"/>
      <c r="K58"/>
      <c r="L58"/>
    </row>
    <row r="59" spans="1:12" ht="15.75">
      <c r="A59" s="495">
        <v>0.48</v>
      </c>
      <c r="B59" s="427" t="s">
        <v>306</v>
      </c>
      <c r="C59" s="428">
        <f>C45*A59</f>
        <v>39840</v>
      </c>
      <c r="D59" s="106"/>
      <c r="E59" s="43"/>
      <c r="F59" s="106"/>
      <c r="G59" s="106"/>
      <c r="H59" s="106"/>
      <c r="I59" s="435"/>
      <c r="J59" s="106"/>
      <c r="K59"/>
      <c r="L59"/>
    </row>
    <row r="60" spans="1:12" ht="30.75">
      <c r="A60" s="635" t="s">
        <v>307</v>
      </c>
      <c r="B60" s="424" t="s">
        <v>298</v>
      </c>
      <c r="C60" s="429" t="s">
        <v>299</v>
      </c>
      <c r="D60" s="43" t="s">
        <v>317</v>
      </c>
      <c r="E60" s="423" t="s">
        <v>300</v>
      </c>
      <c r="F60" s="519" t="s">
        <v>301</v>
      </c>
      <c r="G60" s="422" t="s">
        <v>302</v>
      </c>
      <c r="H60" s="422" t="s">
        <v>304</v>
      </c>
      <c r="I60" s="431" t="s">
        <v>305</v>
      </c>
      <c r="J60" s="520"/>
      <c r="K60" s="520"/>
      <c r="L60"/>
    </row>
    <row r="61" spans="1:12">
      <c r="A61" s="636" t="s">
        <v>291</v>
      </c>
      <c r="B61" s="424">
        <v>1</v>
      </c>
      <c r="C61" s="430">
        <v>0.6</v>
      </c>
      <c r="D61" s="425">
        <f>$C$59*C61</f>
        <v>23904</v>
      </c>
      <c r="E61" s="426">
        <f>ROUNDDOWN(D61*0.3/12,0)</f>
        <v>597</v>
      </c>
      <c r="F61" s="455">
        <f>IF($D$48=1, H45, H45)*-1</f>
        <v>-57</v>
      </c>
      <c r="G61" s="426">
        <f>E61+F61</f>
        <v>540</v>
      </c>
      <c r="H61" s="526">
        <v>0</v>
      </c>
      <c r="I61" s="433">
        <f>G61*H61*12</f>
        <v>0</v>
      </c>
      <c r="J61" s="521"/>
      <c r="K61" s="522"/>
      <c r="L61"/>
    </row>
    <row r="62" spans="1:12">
      <c r="A62" s="636" t="s">
        <v>293</v>
      </c>
      <c r="B62" s="424">
        <v>1.5</v>
      </c>
      <c r="C62" s="430">
        <v>0.75</v>
      </c>
      <c r="D62" s="425">
        <f>$C$59*C62</f>
        <v>29880</v>
      </c>
      <c r="E62" s="426">
        <f>ROUNDDOWN(D62*0.3/12,0)</f>
        <v>747</v>
      </c>
      <c r="F62" s="455">
        <f>IF($D$48=1, H46, H46)*-1</f>
        <v>-58</v>
      </c>
      <c r="G62" s="426">
        <f>E62+F62</f>
        <v>689</v>
      </c>
      <c r="H62" s="526">
        <v>13</v>
      </c>
      <c r="I62" s="433">
        <f>G62*H62*12</f>
        <v>107484</v>
      </c>
      <c r="J62" s="523"/>
      <c r="K62" s="524"/>
      <c r="L62"/>
    </row>
    <row r="63" spans="1:12">
      <c r="A63" s="636" t="s">
        <v>295</v>
      </c>
      <c r="B63" s="424">
        <v>3</v>
      </c>
      <c r="C63" s="430">
        <v>0.9</v>
      </c>
      <c r="D63" s="425">
        <f>$C$59*C63</f>
        <v>35856</v>
      </c>
      <c r="E63" s="426">
        <f>ROUNDDOWN(D63*0.3/12,0)</f>
        <v>896</v>
      </c>
      <c r="F63" s="455">
        <f>IF($D$48=1, H47, H47)*-1</f>
        <v>-61</v>
      </c>
      <c r="G63" s="426">
        <f>E63+F63</f>
        <v>835</v>
      </c>
      <c r="H63" s="526">
        <v>18</v>
      </c>
      <c r="I63" s="433">
        <f>G63*H63*12</f>
        <v>180360</v>
      </c>
      <c r="J63" s="523"/>
      <c r="K63" s="524"/>
      <c r="L63"/>
    </row>
    <row r="64" spans="1:12">
      <c r="A64" s="636" t="s">
        <v>297</v>
      </c>
      <c r="B64" s="424">
        <v>4.5</v>
      </c>
      <c r="C64" s="430">
        <v>1.04</v>
      </c>
      <c r="D64" s="425">
        <f>$C$59*C64</f>
        <v>41433.599999999999</v>
      </c>
      <c r="E64" s="426">
        <f>ROUNDDOWN(D64*0.3/12,0)</f>
        <v>1035</v>
      </c>
      <c r="F64" s="455">
        <f>IF($D$48=1, H48, H48)*-1</f>
        <v>-77</v>
      </c>
      <c r="G64" s="426">
        <f>E64+F64</f>
        <v>958</v>
      </c>
      <c r="H64" s="526">
        <v>4</v>
      </c>
      <c r="I64" s="433">
        <f>G64*H64*12</f>
        <v>45984</v>
      </c>
      <c r="J64" s="523"/>
      <c r="K64" s="524"/>
      <c r="L64"/>
    </row>
    <row r="65" spans="1:12" ht="17.25">
      <c r="A65" s="636" t="s">
        <v>351</v>
      </c>
      <c r="B65" s="106">
        <v>6</v>
      </c>
      <c r="C65" s="430">
        <v>1.1599999999999999</v>
      </c>
      <c r="D65" s="425">
        <f>$C$59*C65</f>
        <v>46214.399999999994</v>
      </c>
      <c r="E65" s="426">
        <f>ROUNDDOWN(D65*0.3/12,0)</f>
        <v>1155</v>
      </c>
      <c r="F65" s="455">
        <f>IF($D$48=1, H49, H49)*-1</f>
        <v>-79</v>
      </c>
      <c r="G65" s="426">
        <f>E65+F65</f>
        <v>1076</v>
      </c>
      <c r="H65" s="526">
        <v>0</v>
      </c>
      <c r="I65" s="505">
        <f>G65*H65*12</f>
        <v>0</v>
      </c>
      <c r="J65" s="523"/>
      <c r="K65" s="524"/>
      <c r="L65"/>
    </row>
    <row r="66" spans="1:12">
      <c r="A66" s="525"/>
      <c r="B66" s="415"/>
      <c r="C66" s="415"/>
      <c r="D66" s="415"/>
      <c r="E66" s="70"/>
      <c r="F66" s="415"/>
      <c r="G66" s="415"/>
      <c r="H66" s="527">
        <f>SUM(H61:H65)</f>
        <v>35</v>
      </c>
      <c r="I66" s="502">
        <f>SUM(I61:I65)</f>
        <v>333828</v>
      </c>
      <c r="J66" s="415"/>
      <c r="K66"/>
      <c r="L66"/>
    </row>
    <row r="67" spans="1:12" ht="15.75">
      <c r="A67" s="495">
        <v>0.88</v>
      </c>
      <c r="B67" s="427" t="s">
        <v>306</v>
      </c>
      <c r="C67" s="428">
        <f>C45*A67</f>
        <v>73040</v>
      </c>
      <c r="D67" s="106"/>
      <c r="E67" s="43"/>
      <c r="F67" s="106"/>
      <c r="G67" s="106"/>
      <c r="H67" s="106"/>
      <c r="I67" s="435"/>
      <c r="J67" s="106"/>
      <c r="K67"/>
      <c r="L67"/>
    </row>
    <row r="68" spans="1:12" ht="30">
      <c r="A68" s="635" t="s">
        <v>307</v>
      </c>
      <c r="B68" s="424" t="s">
        <v>298</v>
      </c>
      <c r="C68" s="429" t="s">
        <v>299</v>
      </c>
      <c r="D68" s="43" t="s">
        <v>317</v>
      </c>
      <c r="E68" s="423" t="s">
        <v>300</v>
      </c>
      <c r="F68" s="519" t="s">
        <v>301</v>
      </c>
      <c r="G68" s="422" t="s">
        <v>302</v>
      </c>
      <c r="H68" s="422" t="s">
        <v>304</v>
      </c>
      <c r="I68" s="431" t="s">
        <v>305</v>
      </c>
      <c r="K68"/>
      <c r="L68"/>
    </row>
    <row r="69" spans="1:12">
      <c r="A69" s="636" t="s">
        <v>291</v>
      </c>
      <c r="B69" s="424">
        <v>1</v>
      </c>
      <c r="C69" s="430">
        <v>0.6</v>
      </c>
      <c r="D69" s="425">
        <f>$C$67*C69</f>
        <v>43824</v>
      </c>
      <c r="E69" s="426">
        <f>ROUNDDOWN(D69*0.3/12,0)</f>
        <v>1095</v>
      </c>
      <c r="F69" s="455">
        <f>IF($D$48=1, H45, H45)*-1</f>
        <v>-57</v>
      </c>
      <c r="G69" s="426">
        <f>E69+F69</f>
        <v>1038</v>
      </c>
      <c r="H69" s="445">
        <v>0</v>
      </c>
      <c r="I69" s="433">
        <f>G69*H69*12</f>
        <v>0</v>
      </c>
      <c r="K69"/>
      <c r="L69"/>
    </row>
    <row r="70" spans="1:12">
      <c r="A70" s="636" t="s">
        <v>293</v>
      </c>
      <c r="B70" s="424">
        <v>1.5</v>
      </c>
      <c r="C70" s="430">
        <v>0.75</v>
      </c>
      <c r="D70" s="425">
        <f>$C$67*C70</f>
        <v>54780</v>
      </c>
      <c r="E70" s="426">
        <f>ROUNDDOWN(D70*0.3/12,0)</f>
        <v>1369</v>
      </c>
      <c r="F70" s="455">
        <f>IF($D$48=1, H46, H46)*-1</f>
        <v>-58</v>
      </c>
      <c r="G70" s="426">
        <f>E70+F70</f>
        <v>1311</v>
      </c>
      <c r="H70" s="445">
        <v>3</v>
      </c>
      <c r="I70" s="433">
        <f>G70*H70*12</f>
        <v>47196</v>
      </c>
      <c r="K70"/>
      <c r="L70"/>
    </row>
    <row r="71" spans="1:12">
      <c r="A71" s="636" t="s">
        <v>295</v>
      </c>
      <c r="B71" s="424">
        <v>3</v>
      </c>
      <c r="C71" s="430">
        <v>0.9</v>
      </c>
      <c r="D71" s="425">
        <f>$C$67*C71</f>
        <v>65736</v>
      </c>
      <c r="E71" s="426">
        <f>ROUNDDOWN(D71*0.3/12,0)</f>
        <v>1643</v>
      </c>
      <c r="F71" s="455">
        <f>IF($D$48=1, H47, H47)*-1</f>
        <v>-61</v>
      </c>
      <c r="G71" s="426">
        <f>E71+F71</f>
        <v>1582</v>
      </c>
      <c r="H71" s="445">
        <v>5</v>
      </c>
      <c r="I71" s="433">
        <f>G71*H71*12</f>
        <v>94920</v>
      </c>
      <c r="K71"/>
      <c r="L71"/>
    </row>
    <row r="72" spans="1:12">
      <c r="A72" s="636" t="s">
        <v>297</v>
      </c>
      <c r="B72" s="424">
        <v>4.5</v>
      </c>
      <c r="C72" s="430">
        <v>1.04</v>
      </c>
      <c r="D72" s="425">
        <f>$C$67*C72</f>
        <v>75961.600000000006</v>
      </c>
      <c r="E72" s="426">
        <f>ROUNDDOWN(D72*0.3/12,0)</f>
        <v>1899</v>
      </c>
      <c r="F72" s="455">
        <f>IF($D$48=1, H48, H48)*-1</f>
        <v>-77</v>
      </c>
      <c r="G72" s="426">
        <f>E72+F72</f>
        <v>1822</v>
      </c>
      <c r="H72" s="445">
        <v>1</v>
      </c>
      <c r="I72" s="433">
        <f>G72*H72*12</f>
        <v>21864</v>
      </c>
      <c r="K72"/>
      <c r="L72"/>
    </row>
    <row r="73" spans="1:12" ht="17.25">
      <c r="A73" s="636" t="s">
        <v>351</v>
      </c>
      <c r="B73" s="106">
        <v>6</v>
      </c>
      <c r="C73" s="430">
        <v>1.1599999999999999</v>
      </c>
      <c r="D73" s="425">
        <f>$C$67*C73</f>
        <v>84726.399999999994</v>
      </c>
      <c r="E73" s="426">
        <f>ROUNDDOWN(D73*0.3/12,0)</f>
        <v>2118</v>
      </c>
      <c r="F73" s="455">
        <f>IF($D$48=1, H49, H49)*-1</f>
        <v>-79</v>
      </c>
      <c r="G73" s="426">
        <f>E73+F73</f>
        <v>2039</v>
      </c>
      <c r="H73" s="503">
        <v>0</v>
      </c>
      <c r="I73" s="505">
        <f>G73*H73*12</f>
        <v>0</v>
      </c>
      <c r="J73" s="106"/>
      <c r="K73"/>
      <c r="L73"/>
    </row>
    <row r="74" spans="1:12">
      <c r="A74" s="525"/>
      <c r="B74" s="415"/>
      <c r="C74" s="415"/>
      <c r="D74" s="415"/>
      <c r="E74" s="70"/>
      <c r="F74" s="415"/>
      <c r="G74" s="415"/>
      <c r="H74" s="527">
        <f>SUM(H69:H73)</f>
        <v>9</v>
      </c>
      <c r="I74" s="502">
        <f>SUM(I69:I73)</f>
        <v>163980</v>
      </c>
      <c r="J74" s="415"/>
      <c r="K74"/>
      <c r="L74"/>
    </row>
    <row r="75" spans="1:12" ht="15.75">
      <c r="A75" s="495">
        <v>0.78</v>
      </c>
      <c r="B75" s="427" t="s">
        <v>306</v>
      </c>
      <c r="C75" s="428">
        <f>C45*A75</f>
        <v>64740</v>
      </c>
      <c r="D75" s="614" t="s">
        <v>377</v>
      </c>
      <c r="E75" s="615"/>
      <c r="F75" s="616"/>
      <c r="G75" s="106"/>
      <c r="H75" s="106"/>
      <c r="I75" s="435"/>
      <c r="J75" s="106"/>
      <c r="K75"/>
      <c r="L75"/>
    </row>
    <row r="76" spans="1:12" ht="30">
      <c r="A76" s="635" t="s">
        <v>307</v>
      </c>
      <c r="B76" s="424" t="s">
        <v>298</v>
      </c>
      <c r="C76" s="429" t="s">
        <v>299</v>
      </c>
      <c r="D76" s="43" t="s">
        <v>317</v>
      </c>
      <c r="E76" s="423" t="s">
        <v>300</v>
      </c>
      <c r="F76" s="422" t="s">
        <v>301</v>
      </c>
      <c r="G76" s="422" t="s">
        <v>302</v>
      </c>
      <c r="H76" s="422" t="s">
        <v>304</v>
      </c>
      <c r="I76" s="431" t="s">
        <v>305</v>
      </c>
      <c r="K76"/>
      <c r="L76"/>
    </row>
    <row r="77" spans="1:12">
      <c r="A77" s="424" t="s">
        <v>291</v>
      </c>
      <c r="B77" s="424">
        <v>1</v>
      </c>
      <c r="C77" s="430">
        <v>0.6</v>
      </c>
      <c r="D77" s="425">
        <f>$C$75*C77</f>
        <v>38844</v>
      </c>
      <c r="E77" s="426">
        <f>ROUNDDOWN(D77*0.3/12,0)</f>
        <v>971</v>
      </c>
      <c r="F77" s="455">
        <f>IF($D$48=1, H45, H45)*-1</f>
        <v>-57</v>
      </c>
      <c r="G77" s="426">
        <f>E77+F77</f>
        <v>914</v>
      </c>
      <c r="H77" s="445"/>
      <c r="I77" s="433">
        <f>G77*H77*12</f>
        <v>0</v>
      </c>
      <c r="K77"/>
      <c r="L77"/>
    </row>
    <row r="78" spans="1:12">
      <c r="A78" s="424" t="s">
        <v>293</v>
      </c>
      <c r="B78" s="424">
        <v>1.5</v>
      </c>
      <c r="C78" s="430">
        <v>0.75</v>
      </c>
      <c r="D78" s="425">
        <f>$C$75*C78</f>
        <v>48555</v>
      </c>
      <c r="E78" s="426">
        <f>ROUNDDOWN(D78*0.3/12,0)</f>
        <v>1213</v>
      </c>
      <c r="F78" s="455">
        <f>IF($D$48=1, H46, H46)*-1</f>
        <v>-58</v>
      </c>
      <c r="G78" s="426">
        <f>E78+F78</f>
        <v>1155</v>
      </c>
      <c r="H78" s="445">
        <v>1</v>
      </c>
      <c r="I78" s="433">
        <f>G78*H78*12</f>
        <v>13860</v>
      </c>
      <c r="K78"/>
      <c r="L78"/>
    </row>
    <row r="79" spans="1:12">
      <c r="A79" s="424" t="s">
        <v>295</v>
      </c>
      <c r="B79" s="424">
        <v>3</v>
      </c>
      <c r="C79" s="430">
        <v>0.9</v>
      </c>
      <c r="D79" s="425">
        <f>$C$75*C79</f>
        <v>58266</v>
      </c>
      <c r="E79" s="426">
        <f>ROUNDDOWN(D79*0.3/12,0)</f>
        <v>1456</v>
      </c>
      <c r="F79" s="455">
        <f>IF($D$48=1, H47, H47)*-1</f>
        <v>-61</v>
      </c>
      <c r="G79" s="426">
        <f>E79+F79</f>
        <v>1395</v>
      </c>
      <c r="H79" s="445">
        <v>5</v>
      </c>
      <c r="I79" s="433">
        <f>G79*H79*12</f>
        <v>83700</v>
      </c>
      <c r="K79"/>
      <c r="L79"/>
    </row>
    <row r="80" spans="1:12">
      <c r="A80" s="424" t="s">
        <v>297</v>
      </c>
      <c r="B80" s="424">
        <v>4.5</v>
      </c>
      <c r="C80" s="430">
        <v>1.04</v>
      </c>
      <c r="D80" s="425">
        <f>$C$75*C80</f>
        <v>67329.600000000006</v>
      </c>
      <c r="E80" s="426">
        <f>ROUNDDOWN(D80*0.3/12,0)</f>
        <v>1683</v>
      </c>
      <c r="F80" s="455">
        <f>IF($D$48=1, H48, H48)*-1</f>
        <v>-77</v>
      </c>
      <c r="G80" s="426">
        <f>E80+F80</f>
        <v>1606</v>
      </c>
      <c r="H80" s="445">
        <v>2</v>
      </c>
      <c r="I80" s="433">
        <f>G80*H80*12</f>
        <v>38544</v>
      </c>
      <c r="K80"/>
      <c r="L80"/>
    </row>
    <row r="81" spans="1:19" ht="17.25">
      <c r="A81" s="424" t="s">
        <v>351</v>
      </c>
      <c r="B81" s="106">
        <v>6</v>
      </c>
      <c r="C81" s="430">
        <v>1.1599999999999999</v>
      </c>
      <c r="D81" s="425">
        <f>$C$75*C81</f>
        <v>75098.399999999994</v>
      </c>
      <c r="E81" s="426">
        <f>ROUNDDOWN(D81*0.3/12,0)</f>
        <v>1877</v>
      </c>
      <c r="F81" s="455">
        <f>IF($D$48=1, H49, H49)*-1</f>
        <v>-79</v>
      </c>
      <c r="G81" s="426">
        <f>E81+F81</f>
        <v>1798</v>
      </c>
      <c r="H81" s="503"/>
      <c r="I81" s="505">
        <f>G81*H81*12</f>
        <v>0</v>
      </c>
      <c r="K81"/>
      <c r="L81"/>
    </row>
    <row r="82" spans="1:19">
      <c r="A82" s="424"/>
      <c r="B82" s="424"/>
      <c r="C82" s="430"/>
      <c r="D82" s="425"/>
      <c r="E82" s="426"/>
      <c r="F82" s="426"/>
      <c r="G82" s="426"/>
      <c r="H82" s="527">
        <f>SUM(H77:H81)</f>
        <v>8</v>
      </c>
      <c r="I82" s="502">
        <f>SUM(I77:I81)</f>
        <v>136104</v>
      </c>
      <c r="K82"/>
      <c r="L82"/>
    </row>
    <row r="83" spans="1:19" ht="15.75" hidden="1">
      <c r="A83" s="462" t="s">
        <v>323</v>
      </c>
      <c r="B83" s="452" t="s">
        <v>318</v>
      </c>
      <c r="C83"/>
      <c r="D83" s="106"/>
      <c r="E83" s="43"/>
      <c r="F83" s="106"/>
      <c r="G83" s="106"/>
      <c r="H83" s="106"/>
      <c r="I83" s="435"/>
      <c r="K83"/>
      <c r="L83"/>
    </row>
    <row r="84" spans="1:19" ht="30" hidden="1">
      <c r="A84" s="106" t="s">
        <v>307</v>
      </c>
      <c r="B84" s="424"/>
      <c r="C84" s="429"/>
      <c r="D84" s="43"/>
      <c r="E84" s="423"/>
      <c r="F84" s="422"/>
      <c r="G84" s="422" t="s">
        <v>3</v>
      </c>
      <c r="H84" s="422" t="s">
        <v>304</v>
      </c>
      <c r="I84" s="431" t="s">
        <v>305</v>
      </c>
      <c r="K84"/>
      <c r="L84"/>
    </row>
    <row r="85" spans="1:19" hidden="1">
      <c r="A85" s="424" t="s">
        <v>291</v>
      </c>
      <c r="B85" s="465"/>
      <c r="C85" s="466"/>
      <c r="D85" s="467"/>
      <c r="E85" s="468"/>
      <c r="F85" s="468"/>
      <c r="G85" s="445"/>
      <c r="H85" s="445"/>
      <c r="I85" s="433">
        <f>H85*12*G85</f>
        <v>0</v>
      </c>
      <c r="K85"/>
      <c r="L85"/>
    </row>
    <row r="86" spans="1:19" hidden="1">
      <c r="A86" s="424" t="s">
        <v>293</v>
      </c>
      <c r="B86" s="465"/>
      <c r="C86" s="466"/>
      <c r="D86" s="467"/>
      <c r="E86" s="468"/>
      <c r="F86" s="468"/>
      <c r="G86" s="445"/>
      <c r="H86" s="445"/>
      <c r="I86" s="433">
        <f>H86*12*G86</f>
        <v>0</v>
      </c>
      <c r="K86"/>
      <c r="L86"/>
    </row>
    <row r="87" spans="1:19" hidden="1">
      <c r="A87" s="424" t="s">
        <v>295</v>
      </c>
      <c r="B87" s="465"/>
      <c r="C87" s="466"/>
      <c r="D87" s="467"/>
      <c r="E87" s="468"/>
      <c r="F87" s="468"/>
      <c r="G87" s="445"/>
      <c r="H87" s="445"/>
      <c r="I87" s="433">
        <f>H87*12*G87</f>
        <v>0</v>
      </c>
      <c r="K87"/>
      <c r="L87"/>
    </row>
    <row r="88" spans="1:19" hidden="1">
      <c r="A88" s="424" t="s">
        <v>297</v>
      </c>
      <c r="B88" s="465"/>
      <c r="C88" s="466"/>
      <c r="D88" s="467"/>
      <c r="E88" s="468"/>
      <c r="F88" s="468"/>
      <c r="G88" s="496"/>
      <c r="H88" s="445"/>
      <c r="I88" s="433">
        <f>H88*12*G88</f>
        <v>0</v>
      </c>
      <c r="K88"/>
      <c r="L88"/>
    </row>
    <row r="89" spans="1:19" hidden="1">
      <c r="A89" s="424" t="s">
        <v>351</v>
      </c>
      <c r="B89" s="497"/>
      <c r="C89" s="466"/>
      <c r="D89" s="467"/>
      <c r="E89" s="468"/>
      <c r="F89" s="498"/>
      <c r="G89" s="388"/>
      <c r="H89" s="504"/>
      <c r="I89" s="433">
        <f>G89*H89*12</f>
        <v>0</v>
      </c>
      <c r="K89"/>
      <c r="L89"/>
    </row>
    <row r="90" spans="1:19">
      <c r="A90" s="424"/>
      <c r="B90" s="507"/>
      <c r="C90" s="430"/>
      <c r="D90" s="425"/>
      <c r="E90" s="508"/>
      <c r="F90" s="451"/>
      <c r="G90" s="451"/>
      <c r="H90" s="105"/>
      <c r="I90" s="433"/>
      <c r="K90"/>
      <c r="L90"/>
    </row>
    <row r="91" spans="1:19" ht="15.75">
      <c r="A91"/>
      <c r="B91"/>
      <c r="C91"/>
      <c r="D91" s="106"/>
      <c r="E91" s="43"/>
      <c r="F91" s="106"/>
      <c r="G91" s="499" t="s">
        <v>308</v>
      </c>
      <c r="H91" s="631">
        <f>SUM(H53:H57)+SUM(H61:H65)+SUM(H69:H73)+SUM(H77:H81)+SUM(H85:H89)</f>
        <v>56</v>
      </c>
      <c r="I91" s="435"/>
      <c r="J91" s="106"/>
      <c r="K91"/>
      <c r="L91"/>
    </row>
    <row r="92" spans="1:19" ht="15.75">
      <c r="A92" s="43"/>
      <c r="B92" s="106"/>
      <c r="C92" s="106"/>
      <c r="D92" s="106"/>
      <c r="E92" s="43"/>
      <c r="F92" s="106"/>
      <c r="G92" s="454"/>
      <c r="H92" s="106"/>
      <c r="I92" s="435"/>
      <c r="J92" s="106"/>
      <c r="K92"/>
      <c r="L92"/>
    </row>
    <row r="93" spans="1:19" ht="15.75">
      <c r="D93" s="43"/>
      <c r="E93" s="43"/>
      <c r="F93" s="43"/>
      <c r="G93" s="396"/>
      <c r="H93" s="397" t="s">
        <v>355</v>
      </c>
      <c r="I93" s="463">
        <f>SUM(I53:I57)+SUM(I61:I65)+SUM(I69:I73)+SUM(I77:I81)+SUM(I85:I89)</f>
        <v>664776</v>
      </c>
      <c r="K93"/>
      <c r="L93"/>
      <c r="M93" s="188"/>
      <c r="N93" s="188"/>
    </row>
    <row r="94" spans="1:19">
      <c r="A94" s="188"/>
      <c r="B94" s="188"/>
      <c r="C94" s="188"/>
      <c r="D94" s="188"/>
      <c r="E94" s="188"/>
      <c r="F94" s="188"/>
      <c r="G94" s="188"/>
      <c r="H94" s="188"/>
      <c r="I94" s="237"/>
      <c r="K94"/>
      <c r="L94"/>
      <c r="M94" s="188"/>
      <c r="N94" s="188"/>
    </row>
    <row r="95" spans="1:19" ht="15.75">
      <c r="A95" s="334"/>
      <c r="B95" s="334"/>
      <c r="C95" s="334"/>
      <c r="D95" s="334"/>
      <c r="E95" s="242"/>
      <c r="F95" s="216"/>
      <c r="G95" s="242"/>
      <c r="H95" s="432" t="s">
        <v>126</v>
      </c>
      <c r="I95" s="464">
        <f>I93+D40</f>
        <v>668696</v>
      </c>
      <c r="K95"/>
      <c r="L95"/>
      <c r="M95" s="188"/>
      <c r="N95" s="188"/>
      <c r="O95" s="155"/>
      <c r="P95" s="155"/>
      <c r="Q95" s="179"/>
      <c r="R95" s="83"/>
      <c r="S95" s="341"/>
    </row>
    <row r="96" spans="1:19" ht="15.75">
      <c r="E96" s="188"/>
      <c r="F96" s="83"/>
      <c r="G96" s="188"/>
      <c r="H96" s="181"/>
      <c r="I96" s="500"/>
      <c r="K96"/>
      <c r="L96"/>
      <c r="M96" s="188"/>
      <c r="N96" s="188"/>
      <c r="O96" s="155"/>
      <c r="P96" s="155"/>
      <c r="Q96" s="179"/>
      <c r="R96" s="83"/>
      <c r="S96" s="341"/>
    </row>
    <row r="97" spans="5:19" ht="15.75">
      <c r="E97" s="188"/>
      <c r="F97" s="83"/>
      <c r="G97" s="188"/>
      <c r="H97" s="181"/>
      <c r="I97" s="500"/>
      <c r="K97"/>
      <c r="L97"/>
      <c r="M97" s="188"/>
      <c r="N97" s="188"/>
      <c r="O97" s="155"/>
      <c r="P97" s="155"/>
      <c r="Q97" s="179"/>
      <c r="R97" s="83"/>
      <c r="S97" s="341"/>
    </row>
    <row r="98" spans="5:19" ht="15.75">
      <c r="E98" s="188"/>
      <c r="F98" s="83"/>
      <c r="G98" s="188"/>
      <c r="H98" s="181"/>
      <c r="I98" s="500"/>
      <c r="K98"/>
      <c r="L98"/>
      <c r="M98" s="188"/>
      <c r="N98" s="188"/>
      <c r="O98" s="155"/>
      <c r="P98" s="155"/>
      <c r="Q98" s="179"/>
      <c r="R98" s="83"/>
      <c r="S98" s="341"/>
    </row>
    <row r="99" spans="5:19" ht="15.75">
      <c r="E99" s="188"/>
      <c r="F99" s="83"/>
      <c r="G99" s="188"/>
      <c r="H99" s="181"/>
      <c r="I99" s="500"/>
      <c r="K99"/>
      <c r="L99"/>
      <c r="M99" s="188"/>
      <c r="N99" s="188"/>
      <c r="O99" s="155"/>
      <c r="P99" s="155"/>
      <c r="Q99" s="179"/>
      <c r="R99" s="83"/>
      <c r="S99" s="341"/>
    </row>
  </sheetData>
  <customSheetViews>
    <customSheetView guid="{560D4AFA-61E5-46C3-B0CD-D0EB3053A033}" scale="75" colorId="22" showPageBreaks="1" fitToPage="1" printArea="1" showRuler="0" topLeftCell="A4">
      <selection activeCell="B5" sqref="B5"/>
      <pageMargins left="0.75" right="0.5" top="0.75" bottom="0.5" header="0.5" footer="0.5"/>
      <pageSetup scale="66" orientation="portrait" r:id="rId1"/>
      <headerFooter alignWithMargins="0"/>
    </customSheetView>
    <customSheetView guid="{1ECE83C7-A3CE-4F97-BFD3-498FF783C0D9}" scale="75" colorId="22" showPageBreaks="1" fitToPage="1" printArea="1" showRuler="0">
      <selection activeCell="H29" sqref="H29"/>
      <pageMargins left="0.75" right="0.5" top="0.75" bottom="0.5" header="0.5" footer="0.5"/>
      <pageSetup scale="75" orientation="portrait" r:id="rId2"/>
      <headerFooter alignWithMargins="0"/>
    </customSheetView>
    <customSheetView guid="{6EF643BE-69F3-424E-8A44-3890161370D4}" scale="87" colorId="22" showPageBreaks="1" fitToPage="1" printArea="1" showRuler="0" topLeftCell="A40">
      <selection activeCell="D42" sqref="D42"/>
      <pageMargins left="0.5" right="0.5" top="0.5" bottom="0.5" header="0.5" footer="0.5"/>
      <pageSetup scale="77" orientation="portrait" r:id="rId3"/>
      <headerFooter alignWithMargins="0"/>
    </customSheetView>
    <customSheetView guid="{FBB4BF8E-8A9F-4E98-A6F9-5F9BF4C55C67}" scale="87" colorId="22" showPageBreaks="1" fitToPage="1" printArea="1" showRuler="0" topLeftCell="A14">
      <selection activeCell="C29" sqref="C29"/>
      <pageMargins left="0.5" right="0.5" top="0.5" bottom="0.5" header="0.5" footer="0.5"/>
      <pageSetup scale="80" orientation="portrait" r:id="rId4"/>
      <headerFooter alignWithMargins="0"/>
    </customSheetView>
    <customSheetView guid="{EB776EFC-3589-4DB5-BEAF-1E83D9703F9E}" scale="87" colorId="22" fitToPage="1" showRuler="0" topLeftCell="A38">
      <selection activeCell="A59" sqref="A59"/>
      <pageMargins left="0.5" right="0.5" top="0.5" bottom="0.5" header="0.5" footer="0.5"/>
      <pageSetup scale="80" orientation="portrait" r:id="rId5"/>
      <headerFooter alignWithMargins="0"/>
    </customSheetView>
    <customSheetView guid="{AEA5979F-5357-4ED6-A6CA-1BB80F5C7A74}" scale="87" colorId="22" showPageBreaks="1" fitToPage="1" printArea="1" showRuler="0" topLeftCell="A10">
      <selection activeCell="B28" sqref="B28"/>
      <pageMargins left="0.5" right="0.5" top="0.5" bottom="0.5" header="0.5" footer="0.5"/>
      <pageSetup scale="77" orientation="portrait" r:id="rId6"/>
      <headerFooter alignWithMargins="0"/>
    </customSheetView>
    <customSheetView guid="{28F81D13-D146-4D67-8981-BA5D7A496326}" scale="87" colorId="22" showPageBreaks="1" fitToPage="1" printArea="1" showRuler="0" topLeftCell="A37">
      <selection activeCell="C33" sqref="C33"/>
      <pageMargins left="0.5" right="0.5" top="0.5" bottom="0.5" header="0.5" footer="0.5"/>
      <pageSetup scale="77" orientation="portrait" r:id="rId7"/>
      <headerFooter alignWithMargins="0"/>
    </customSheetView>
    <customSheetView guid="{25C4E7E7-1006-4A2D-BC83-AEE4ADF8A914}" scale="75" colorId="22" showPageBreaks="1" fitToPage="1" printArea="1" showRuler="0" topLeftCell="A28">
      <selection activeCell="F39" sqref="F39"/>
      <pageMargins left="0.75" right="0.5" top="0.75" bottom="0.5" header="0.5" footer="0.5"/>
      <pageSetup scale="68" orientation="portrait" r:id="rId8"/>
      <headerFooter alignWithMargins="0"/>
    </customSheetView>
  </customSheetViews>
  <phoneticPr fontId="0" type="noConversion"/>
  <pageMargins left="0.75" right="0.5" top="0.5" bottom="0.5" header="0.5" footer="0.5"/>
  <pageSetup scale="48" firstPageNumber="209" orientation="portrait" useFirstPageNumber="1" r:id="rId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F35"/>
  <sheetViews>
    <sheetView zoomScale="60" zoomScaleNormal="100" workbookViewId="0">
      <selection activeCell="F2" sqref="F2"/>
    </sheetView>
  </sheetViews>
  <sheetFormatPr defaultColWidth="7.109375" defaultRowHeight="12.75"/>
  <cols>
    <col min="1" max="1" width="3.44140625" style="404" customWidth="1"/>
    <col min="2" max="2" width="18.5546875" style="400" bestFit="1" customWidth="1"/>
    <col min="3" max="3" width="16.6640625" style="400" customWidth="1"/>
    <col min="4" max="4" width="11.109375" style="407" customWidth="1"/>
    <col min="5" max="5" width="4.109375" style="400" customWidth="1"/>
    <col min="6" max="16384" width="7.109375" style="400"/>
  </cols>
  <sheetData>
    <row r="1" spans="1:6" s="43" customFormat="1" ht="16.5" customHeight="1">
      <c r="A1" s="1" t="str">
        <f>'Sources and Uses'!A1</f>
        <v>Homeless Development Model E- permanent</v>
      </c>
      <c r="C1" s="23"/>
      <c r="D1" s="395" t="str">
        <f>'Sources and Uses'!C2</f>
        <v>Units:</v>
      </c>
      <c r="E1" s="1">
        <f>'Units &amp; Income'!B23</f>
        <v>56</v>
      </c>
      <c r="F1" s="24"/>
    </row>
    <row r="2" spans="1:6" s="43" customFormat="1" ht="16.5" customHeight="1">
      <c r="A2" s="1" t="str">
        <f>'Sources and Uses'!A2</f>
        <v>4% LIHTC, HPD/HDC ELLA, DHS</v>
      </c>
      <c r="C2" s="23"/>
      <c r="D2" s="78"/>
      <c r="E2" s="1"/>
      <c r="F2" s="606"/>
    </row>
    <row r="3" spans="1:6" ht="15.75">
      <c r="C3" s="605"/>
      <c r="F3" s="545"/>
    </row>
    <row r="4" spans="1:6" s="402" customFormat="1">
      <c r="A4" s="401" t="s">
        <v>233</v>
      </c>
      <c r="D4" s="403" t="s">
        <v>234</v>
      </c>
    </row>
    <row r="5" spans="1:6">
      <c r="F5" s="545"/>
    </row>
    <row r="6" spans="1:6" ht="20.25" customHeight="1">
      <c r="A6" s="404">
        <v>1</v>
      </c>
      <c r="B6" s="400" t="s">
        <v>235</v>
      </c>
      <c r="D6" s="405"/>
      <c r="F6" s="545"/>
    </row>
    <row r="7" spans="1:6" ht="20.25" customHeight="1">
      <c r="A7" s="404">
        <v>2</v>
      </c>
      <c r="B7" s="400" t="s">
        <v>236</v>
      </c>
      <c r="D7" s="405"/>
      <c r="F7" s="545"/>
    </row>
    <row r="8" spans="1:6" ht="20.25" customHeight="1">
      <c r="A8" s="404">
        <v>4</v>
      </c>
      <c r="B8" s="400" t="s">
        <v>237</v>
      </c>
      <c r="D8" s="405"/>
      <c r="F8" s="545"/>
    </row>
    <row r="9" spans="1:6" ht="20.25" customHeight="1">
      <c r="A9" s="404">
        <v>5</v>
      </c>
      <c r="B9" s="400" t="s">
        <v>238</v>
      </c>
      <c r="D9" s="405"/>
      <c r="F9" s="545"/>
    </row>
    <row r="10" spans="1:6" ht="20.25" customHeight="1">
      <c r="A10" s="404" t="s">
        <v>239</v>
      </c>
      <c r="B10" s="400" t="s">
        <v>240</v>
      </c>
      <c r="D10" s="405"/>
      <c r="F10" s="545"/>
    </row>
    <row r="11" spans="1:6" ht="20.25" customHeight="1">
      <c r="A11" s="404" t="s">
        <v>241</v>
      </c>
      <c r="B11" s="400" t="s">
        <v>242</v>
      </c>
      <c r="D11" s="405"/>
      <c r="F11" s="545"/>
    </row>
    <row r="12" spans="1:6" ht="20.25" customHeight="1">
      <c r="A12" s="404">
        <v>7</v>
      </c>
      <c r="B12" s="400" t="s">
        <v>243</v>
      </c>
      <c r="D12" s="405"/>
      <c r="F12" s="545"/>
    </row>
    <row r="13" spans="1:6" ht="20.25" customHeight="1">
      <c r="A13" s="404">
        <v>8</v>
      </c>
      <c r="B13" s="400" t="s">
        <v>244</v>
      </c>
      <c r="D13" s="405"/>
      <c r="F13" s="545"/>
    </row>
    <row r="14" spans="1:6" ht="20.25" customHeight="1">
      <c r="A14" s="404">
        <v>9</v>
      </c>
      <c r="B14" s="400" t="s">
        <v>245</v>
      </c>
      <c r="D14" s="405"/>
      <c r="F14" s="545"/>
    </row>
    <row r="15" spans="1:6" ht="20.25" customHeight="1">
      <c r="A15" s="404">
        <v>10</v>
      </c>
      <c r="B15" s="400" t="s">
        <v>246</v>
      </c>
      <c r="D15" s="405"/>
      <c r="F15" s="545"/>
    </row>
    <row r="16" spans="1:6" ht="20.25" customHeight="1">
      <c r="A16" s="404">
        <v>11</v>
      </c>
      <c r="B16" s="400" t="s">
        <v>247</v>
      </c>
      <c r="D16" s="405"/>
      <c r="F16" s="545"/>
    </row>
    <row r="17" spans="1:6" ht="20.25" customHeight="1">
      <c r="A17" s="404">
        <v>12</v>
      </c>
      <c r="B17" s="400" t="s">
        <v>248</v>
      </c>
      <c r="D17" s="405"/>
      <c r="F17" s="545"/>
    </row>
    <row r="18" spans="1:6" ht="20.25" customHeight="1">
      <c r="A18" s="404">
        <v>13</v>
      </c>
      <c r="B18" s="400" t="s">
        <v>249</v>
      </c>
      <c r="D18" s="405"/>
      <c r="F18" s="545"/>
    </row>
    <row r="19" spans="1:6" ht="20.25" customHeight="1">
      <c r="A19" s="404">
        <v>14</v>
      </c>
      <c r="B19" s="400" t="s">
        <v>250</v>
      </c>
      <c r="D19" s="405"/>
      <c r="F19" s="545"/>
    </row>
    <row r="20" spans="1:6" ht="20.25" customHeight="1">
      <c r="A20" s="404">
        <v>15</v>
      </c>
      <c r="B20" s="400" t="s">
        <v>251</v>
      </c>
      <c r="D20" s="405"/>
      <c r="F20" s="545"/>
    </row>
    <row r="21" spans="1:6" ht="20.25" customHeight="1">
      <c r="A21" s="404">
        <v>16</v>
      </c>
      <c r="B21" s="400" t="s">
        <v>252</v>
      </c>
      <c r="D21" s="405"/>
      <c r="F21" s="545"/>
    </row>
    <row r="22" spans="1:6" ht="20.25" customHeight="1">
      <c r="A22" s="404" t="s">
        <v>253</v>
      </c>
      <c r="B22" s="400" t="s">
        <v>20</v>
      </c>
      <c r="D22" s="405"/>
      <c r="F22" s="545"/>
    </row>
    <row r="23" spans="1:6" ht="20.25" customHeight="1">
      <c r="A23" s="404" t="s">
        <v>254</v>
      </c>
      <c r="B23" s="400" t="s">
        <v>255</v>
      </c>
      <c r="D23" s="405"/>
      <c r="F23" s="545"/>
    </row>
    <row r="24" spans="1:6" ht="20.25" customHeight="1">
      <c r="A24" s="404">
        <v>18</v>
      </c>
      <c r="B24" s="400" t="s">
        <v>256</v>
      </c>
      <c r="D24" s="405"/>
      <c r="F24" s="545"/>
    </row>
    <row r="25" spans="1:6" ht="20.25" customHeight="1">
      <c r="A25" s="404">
        <v>19</v>
      </c>
      <c r="B25" s="400" t="s">
        <v>257</v>
      </c>
      <c r="D25" s="405"/>
      <c r="F25" s="545"/>
    </row>
    <row r="26" spans="1:6" ht="20.25" customHeight="1">
      <c r="A26" s="404">
        <v>20</v>
      </c>
      <c r="B26" s="400" t="s">
        <v>258</v>
      </c>
      <c r="D26" s="405"/>
      <c r="F26" s="545"/>
    </row>
    <row r="27" spans="1:6" ht="20.25" customHeight="1">
      <c r="A27" s="404">
        <v>21</v>
      </c>
      <c r="B27" s="400" t="s">
        <v>259</v>
      </c>
      <c r="D27" s="405"/>
      <c r="F27" s="545"/>
    </row>
    <row r="28" spans="1:6" ht="20.25" customHeight="1">
      <c r="A28" s="404">
        <v>22</v>
      </c>
      <c r="B28" s="400" t="s">
        <v>260</v>
      </c>
      <c r="D28" s="405"/>
      <c r="F28" s="545"/>
    </row>
    <row r="29" spans="1:6" ht="20.25" customHeight="1">
      <c r="A29" s="404">
        <v>23</v>
      </c>
      <c r="B29" s="400" t="s">
        <v>260</v>
      </c>
      <c r="D29" s="405"/>
      <c r="F29" s="545"/>
    </row>
    <row r="30" spans="1:6" ht="20.25" customHeight="1">
      <c r="A30" s="406">
        <v>24</v>
      </c>
      <c r="B30" s="400" t="s">
        <v>260</v>
      </c>
      <c r="D30" s="405"/>
      <c r="F30" s="545"/>
    </row>
    <row r="31" spans="1:6" s="402" customFormat="1" ht="20.25" customHeight="1">
      <c r="A31" s="401">
        <v>25</v>
      </c>
      <c r="B31" s="402" t="s">
        <v>282</v>
      </c>
      <c r="D31" s="405">
        <f>SUM(D6:D30)</f>
        <v>0</v>
      </c>
    </row>
    <row r="32" spans="1:6" ht="20.25" customHeight="1">
      <c r="A32" s="404">
        <v>26</v>
      </c>
      <c r="B32" s="400" t="s">
        <v>107</v>
      </c>
      <c r="D32" s="405"/>
      <c r="F32" s="545"/>
    </row>
    <row r="33" spans="1:6" ht="20.25" customHeight="1">
      <c r="A33" s="404">
        <v>27</v>
      </c>
      <c r="B33" s="400" t="s">
        <v>261</v>
      </c>
      <c r="D33" s="405"/>
      <c r="F33" s="545"/>
    </row>
    <row r="34" spans="1:6" ht="20.25" customHeight="1">
      <c r="A34" s="406">
        <v>28</v>
      </c>
      <c r="B34" s="400" t="s">
        <v>262</v>
      </c>
      <c r="D34" s="405"/>
      <c r="F34" s="545"/>
    </row>
    <row r="35" spans="1:6" s="402" customFormat="1" ht="20.25" customHeight="1">
      <c r="A35" s="402">
        <v>29</v>
      </c>
      <c r="B35" s="402" t="s">
        <v>283</v>
      </c>
      <c r="D35" s="405">
        <f>SUM(D31:D34)</f>
        <v>0</v>
      </c>
      <c r="F35" s="546" t="s">
        <v>354</v>
      </c>
    </row>
  </sheetData>
  <phoneticPr fontId="30" type="noConversion"/>
  <printOptions horizontalCentered="1"/>
  <pageMargins left="0.75" right="0.75" top="1" bottom="1" header="0.5" footer="0.5"/>
  <pageSetup scale="78" firstPageNumber="214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6"/>
  <sheetViews>
    <sheetView workbookViewId="0"/>
  </sheetViews>
  <sheetFormatPr defaultRowHeight="15"/>
  <sheetData>
    <row r="1" spans="1:4">
      <c r="A1" t="s">
        <v>507</v>
      </c>
    </row>
    <row r="3" spans="1:4">
      <c r="A3" s="598" t="s">
        <v>510</v>
      </c>
    </row>
    <row r="4" spans="1:4">
      <c r="A4" s="598" t="s">
        <v>509</v>
      </c>
      <c r="D4" s="598" t="s">
        <v>511</v>
      </c>
    </row>
    <row r="6" spans="1:4">
      <c r="A6" s="598" t="s">
        <v>508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18"/>
  <sheetViews>
    <sheetView zoomScale="75" zoomScaleNormal="100" workbookViewId="0">
      <selection activeCell="E16" sqref="E16"/>
    </sheetView>
  </sheetViews>
  <sheetFormatPr defaultColWidth="7.109375" defaultRowHeight="12.75"/>
  <cols>
    <col min="1" max="1" width="14.21875" style="400" customWidth="1"/>
    <col min="2" max="4" width="7.109375" style="400" customWidth="1"/>
    <col min="5" max="5" width="15.6640625" style="400" customWidth="1"/>
    <col min="6" max="16384" width="7.109375" style="400"/>
  </cols>
  <sheetData>
    <row r="1" spans="1:8" s="418" customFormat="1" ht="15.75">
      <c r="A1" s="418" t="str">
        <f>'Sources and Uses'!A1</f>
        <v>Homeless Development Model E- permanent</v>
      </c>
      <c r="F1" s="418" t="str">
        <f>'Sources and Uses'!C2</f>
        <v>Units:</v>
      </c>
      <c r="G1" s="418">
        <f>'Units &amp; Income'!B23</f>
        <v>56</v>
      </c>
    </row>
    <row r="2" spans="1:8" s="420" customFormat="1" ht="20.25" customHeight="1">
      <c r="A2" s="418" t="str">
        <f>'Sources and Uses'!A2</f>
        <v>4% LIHTC, HPD/HDC ELLA, DHS</v>
      </c>
      <c r="B2" s="419"/>
      <c r="C2" s="419"/>
      <c r="D2" s="419"/>
      <c r="E2" s="419"/>
      <c r="F2" s="419"/>
      <c r="G2" s="419"/>
      <c r="H2" s="605"/>
    </row>
    <row r="3" spans="1:8" ht="11.25" customHeight="1">
      <c r="A3" s="408"/>
    </row>
    <row r="4" spans="1:8">
      <c r="A4" s="402" t="s">
        <v>263</v>
      </c>
    </row>
    <row r="6" spans="1:8">
      <c r="A6" s="400" t="s">
        <v>264</v>
      </c>
    </row>
    <row r="8" spans="1:8" ht="18" customHeight="1">
      <c r="A8" s="400" t="s">
        <v>265</v>
      </c>
      <c r="E8" s="409">
        <f>'Units &amp; Income_rent'!B5</f>
        <v>100000</v>
      </c>
    </row>
    <row r="9" spans="1:8" ht="18" customHeight="1">
      <c r="A9" s="400" t="s">
        <v>266</v>
      </c>
      <c r="E9" s="409"/>
    </row>
    <row r="10" spans="1:8" ht="18" customHeight="1">
      <c r="A10" s="400" t="s">
        <v>267</v>
      </c>
      <c r="E10" s="409"/>
    </row>
    <row r="11" spans="1:8" ht="18" customHeight="1">
      <c r="A11" s="400" t="s">
        <v>268</v>
      </c>
      <c r="E11" s="409"/>
    </row>
    <row r="12" spans="1:8" ht="18" customHeight="1">
      <c r="A12" s="400" t="s">
        <v>269</v>
      </c>
      <c r="E12" s="409"/>
    </row>
    <row r="13" spans="1:8" ht="18" customHeight="1">
      <c r="A13" s="400" t="s">
        <v>270</v>
      </c>
      <c r="E13" s="409"/>
    </row>
    <row r="14" spans="1:8" ht="18" customHeight="1">
      <c r="A14" s="400" t="s">
        <v>271</v>
      </c>
      <c r="E14" s="409">
        <f>'Units &amp; Income'!B6</f>
        <v>0</v>
      </c>
    </row>
    <row r="15" spans="1:8" ht="18" customHeight="1">
      <c r="A15" s="400" t="s">
        <v>272</v>
      </c>
      <c r="E15" s="409">
        <f>'Units &amp; Income_rent'!B7</f>
        <v>0</v>
      </c>
    </row>
    <row r="16" spans="1:8" ht="18" customHeight="1">
      <c r="A16" s="417" t="s">
        <v>273</v>
      </c>
      <c r="E16" s="409"/>
    </row>
    <row r="17" spans="1:5" ht="18" customHeight="1">
      <c r="A17" s="400" t="s">
        <v>274</v>
      </c>
      <c r="E17" s="409"/>
    </row>
    <row r="18" spans="1:5" ht="18" customHeight="1">
      <c r="A18" s="402" t="s">
        <v>275</v>
      </c>
      <c r="E18" s="410">
        <f>SUM(E8:E17)</f>
        <v>100000</v>
      </c>
    </row>
  </sheetData>
  <phoneticPr fontId="30" type="noConversion"/>
  <printOptions horizontalCentered="1"/>
  <pageMargins left="0.75" right="0.75" top="1" bottom="1" header="0.5" footer="0.5"/>
  <pageSetup firstPageNumber="215" orientation="portrait" useFirstPageNumber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1"/>
    <pageSetUpPr fitToPage="1"/>
  </sheetPr>
  <dimension ref="A1:P62"/>
  <sheetViews>
    <sheetView defaultGridColor="0" topLeftCell="A13" colorId="22" zoomScale="69" zoomScaleNormal="69" workbookViewId="0">
      <selection activeCell="G60" sqref="F60:G60"/>
    </sheetView>
  </sheetViews>
  <sheetFormatPr defaultColWidth="9.77734375" defaultRowHeight="15"/>
  <cols>
    <col min="1" max="1" width="43.88671875" style="770" customWidth="1"/>
    <col min="2" max="2" width="10.21875" style="770" customWidth="1"/>
    <col min="3" max="3" width="12" style="770" bestFit="1" customWidth="1"/>
    <col min="4" max="4" width="16" style="772" customWidth="1"/>
    <col min="5" max="5" width="16.109375" style="770" customWidth="1"/>
    <col min="6" max="6" width="13.5546875" style="770" customWidth="1"/>
    <col min="7" max="7" width="14.88671875" style="770" customWidth="1"/>
    <col min="8" max="8" width="12.6640625" style="770" customWidth="1"/>
    <col min="9" max="9" width="7" style="770" customWidth="1"/>
    <col min="10" max="10" width="12.44140625" style="770" customWidth="1"/>
    <col min="11" max="11" width="12.77734375" style="770" bestFit="1" customWidth="1"/>
    <col min="12" max="12" width="14.44140625" style="770" bestFit="1" customWidth="1"/>
    <col min="13" max="13" width="12.44140625" style="770" customWidth="1"/>
    <col min="14" max="14" width="10.6640625" style="770" bestFit="1" customWidth="1"/>
    <col min="15" max="16384" width="9.77734375" style="770"/>
  </cols>
  <sheetData>
    <row r="1" spans="1:16" ht="16.5" customHeight="1">
      <c r="A1" s="769" t="str">
        <f>'[10]Sources and Use'!A1</f>
        <v>WEBSTER AVE, 203RD ST BRONX</v>
      </c>
      <c r="C1" s="771"/>
      <c r="E1" s="769"/>
      <c r="F1" s="773"/>
    </row>
    <row r="2" spans="1:16" ht="16.5" customHeight="1">
      <c r="A2" s="769">
        <f>'[10]Sources and Use'!A2</f>
        <v>0</v>
      </c>
      <c r="C2" s="774"/>
      <c r="E2" s="769" t="str">
        <f>'[2]Sources and Use'!C2</f>
        <v>Units:</v>
      </c>
      <c r="F2" s="773">
        <f>'[2]Units &amp; Income'!B23</f>
        <v>420</v>
      </c>
    </row>
    <row r="3" spans="1:16" ht="15" customHeight="1">
      <c r="A3" s="771"/>
      <c r="B3" s="769"/>
      <c r="C3" s="771"/>
      <c r="G3" s="775"/>
    </row>
    <row r="4" spans="1:16" ht="15.75" customHeight="1">
      <c r="A4" s="769" t="s">
        <v>424</v>
      </c>
      <c r="B4" s="776"/>
      <c r="C4" s="771"/>
      <c r="D4" s="777"/>
      <c r="E4" s="778"/>
      <c r="F4" s="773"/>
    </row>
    <row r="5" spans="1:16">
      <c r="A5" s="779"/>
      <c r="B5" s="779"/>
      <c r="C5" s="779"/>
      <c r="D5" s="780" t="s">
        <v>285</v>
      </c>
      <c r="E5" s="779"/>
      <c r="F5" s="779"/>
      <c r="G5" s="779"/>
    </row>
    <row r="6" spans="1:16" ht="15.75">
      <c r="A6" s="782" t="s">
        <v>179</v>
      </c>
      <c r="B6" s="783"/>
      <c r="C6" s="784"/>
      <c r="D6" s="785">
        <v>2400000</v>
      </c>
      <c r="E6" s="786"/>
      <c r="F6" s="787"/>
      <c r="G6" s="779"/>
      <c r="H6" s="770" t="s">
        <v>406</v>
      </c>
    </row>
    <row r="7" spans="1:16" ht="15.75">
      <c r="A7" s="788"/>
      <c r="B7" s="789"/>
      <c r="C7" s="790"/>
      <c r="D7" s="791"/>
      <c r="E7" s="792"/>
      <c r="F7" s="793"/>
      <c r="G7" s="794"/>
      <c r="H7" s="795">
        <v>64088</v>
      </c>
      <c r="I7" s="770" t="s">
        <v>407</v>
      </c>
    </row>
    <row r="8" spans="1:16">
      <c r="A8" s="797"/>
      <c r="B8" s="792"/>
      <c r="C8" s="793"/>
      <c r="D8" s="791"/>
      <c r="E8" s="798"/>
      <c r="F8" s="793"/>
      <c r="G8" s="799"/>
      <c r="H8" s="800">
        <f>D6/H7</f>
        <v>37.448508301086008</v>
      </c>
      <c r="I8" s="770" t="s">
        <v>408</v>
      </c>
    </row>
    <row r="9" spans="1:16">
      <c r="A9" s="797"/>
      <c r="B9" s="792"/>
      <c r="C9" s="793"/>
      <c r="D9" s="791"/>
      <c r="E9" s="801"/>
      <c r="F9" s="793"/>
      <c r="G9" s="799"/>
      <c r="H9" s="802"/>
    </row>
    <row r="10" spans="1:16">
      <c r="A10" s="803" t="s">
        <v>181</v>
      </c>
      <c r="B10" s="804"/>
      <c r="C10" s="805"/>
      <c r="D10" s="791"/>
      <c r="E10" s="792"/>
      <c r="F10" s="793"/>
      <c r="G10" s="806"/>
      <c r="H10" s="802">
        <v>420</v>
      </c>
      <c r="I10" s="770" t="s">
        <v>409</v>
      </c>
      <c r="L10" s="779"/>
      <c r="M10" s="779"/>
      <c r="N10" s="779"/>
      <c r="O10" s="779"/>
      <c r="P10" s="779"/>
    </row>
    <row r="11" spans="1:16">
      <c r="A11" s="807"/>
      <c r="B11" s="804"/>
      <c r="C11" s="805"/>
      <c r="D11" s="808"/>
      <c r="E11" s="792"/>
      <c r="F11" s="793"/>
      <c r="G11" s="794"/>
      <c r="H11" s="800">
        <f>D6/H10</f>
        <v>5714.2857142857147</v>
      </c>
      <c r="I11" s="770" t="s">
        <v>410</v>
      </c>
      <c r="L11" s="779"/>
      <c r="M11" s="779"/>
      <c r="N11" s="779"/>
      <c r="O11" s="779"/>
      <c r="P11" s="779"/>
    </row>
    <row r="12" spans="1:16">
      <c r="A12" s="797" t="s">
        <v>49</v>
      </c>
      <c r="B12" s="792"/>
      <c r="C12" s="793"/>
      <c r="D12" s="809">
        <v>0</v>
      </c>
      <c r="E12" s="810" t="s">
        <v>411</v>
      </c>
      <c r="F12" s="793"/>
      <c r="G12" s="799"/>
      <c r="H12" s="806"/>
      <c r="L12" s="779"/>
      <c r="M12" s="779"/>
      <c r="N12" s="779"/>
      <c r="O12" s="779"/>
      <c r="P12" s="779"/>
    </row>
    <row r="13" spans="1:16">
      <c r="A13" s="797" t="s">
        <v>55</v>
      </c>
      <c r="B13" s="792"/>
      <c r="C13" s="793"/>
      <c r="D13" s="809">
        <v>20000</v>
      </c>
      <c r="E13" s="813"/>
      <c r="F13" s="793"/>
      <c r="H13" s="779"/>
      <c r="I13" s="779"/>
      <c r="J13" s="779"/>
      <c r="K13" s="779"/>
      <c r="L13" s="779"/>
      <c r="M13" s="815"/>
      <c r="N13" s="815"/>
      <c r="O13" s="815"/>
      <c r="P13" s="816"/>
    </row>
    <row r="14" spans="1:16">
      <c r="A14" s="797" t="s">
        <v>361</v>
      </c>
      <c r="C14" s="793"/>
      <c r="D14" s="906">
        <v>0</v>
      </c>
      <c r="E14" s="813"/>
      <c r="F14" s="793"/>
      <c r="H14" s="779"/>
      <c r="I14" s="779"/>
      <c r="J14" s="779"/>
      <c r="K14" s="779"/>
      <c r="L14" s="779"/>
      <c r="M14" s="779"/>
      <c r="N14" s="816"/>
      <c r="O14" s="816"/>
      <c r="P14" s="779"/>
    </row>
    <row r="15" spans="1:16">
      <c r="A15" s="797" t="s">
        <v>413</v>
      </c>
      <c r="B15" s="792"/>
      <c r="C15" s="793"/>
      <c r="D15" s="906">
        <v>0</v>
      </c>
      <c r="E15" s="813"/>
      <c r="F15" s="793"/>
      <c r="H15" s="779"/>
      <c r="I15" s="779"/>
      <c r="J15" s="779"/>
      <c r="K15" s="779"/>
      <c r="L15" s="779"/>
      <c r="M15" s="815"/>
      <c r="N15" s="815"/>
      <c r="O15" s="815"/>
      <c r="P15" s="816"/>
    </row>
    <row r="16" spans="1:16">
      <c r="A16" s="797" t="s">
        <v>74</v>
      </c>
      <c r="B16" s="818">
        <v>7.0000000000000001E-3</v>
      </c>
      <c r="C16" s="819" t="s">
        <v>414</v>
      </c>
      <c r="D16" s="809">
        <f>B16*G41</f>
        <v>19539.8</v>
      </c>
      <c r="E16" s="810"/>
      <c r="F16" s="793"/>
      <c r="G16" s="779"/>
      <c r="H16" s="779"/>
      <c r="I16" s="779"/>
      <c r="J16" s="779"/>
      <c r="K16" s="779"/>
      <c r="L16" s="779"/>
      <c r="M16" s="779"/>
      <c r="N16" s="779"/>
      <c r="O16" s="779"/>
      <c r="P16" s="779"/>
    </row>
    <row r="17" spans="1:16">
      <c r="A17" s="797" t="s">
        <v>177</v>
      </c>
      <c r="B17" s="821"/>
      <c r="C17" s="793"/>
      <c r="D17" s="809">
        <v>0</v>
      </c>
      <c r="E17" s="813"/>
      <c r="F17" s="793"/>
      <c r="G17" s="779"/>
      <c r="H17" s="779"/>
      <c r="I17" s="779"/>
      <c r="J17" s="779"/>
      <c r="K17" s="779"/>
      <c r="L17" s="779"/>
      <c r="M17" s="779"/>
      <c r="N17" s="779"/>
      <c r="O17" s="779"/>
      <c r="P17" s="779"/>
    </row>
    <row r="18" spans="1:16" ht="18" thickBot="1">
      <c r="A18" s="822" t="s">
        <v>319</v>
      </c>
      <c r="B18" s="804"/>
      <c r="C18" s="793"/>
      <c r="D18" s="823"/>
      <c r="E18" s="813"/>
      <c r="F18" s="793"/>
      <c r="G18" s="779"/>
      <c r="H18" s="779"/>
      <c r="I18" s="779"/>
      <c r="J18" s="779"/>
      <c r="K18" s="779"/>
      <c r="L18" s="779"/>
      <c r="M18" s="824"/>
      <c r="N18" s="825"/>
      <c r="O18" s="826"/>
      <c r="P18" s="827"/>
    </row>
    <row r="19" spans="1:16" ht="15.75">
      <c r="A19" s="828" t="s">
        <v>52</v>
      </c>
      <c r="B19" s="829"/>
      <c r="C19" s="830"/>
      <c r="D19" s="831">
        <f>SUM(D12:D18)</f>
        <v>39539.800000000003</v>
      </c>
      <c r="E19" s="832"/>
      <c r="F19" s="793"/>
      <c r="G19" s="794"/>
      <c r="H19" s="779"/>
      <c r="I19" s="779"/>
      <c r="J19" s="779"/>
      <c r="K19" s="779"/>
      <c r="L19" s="779"/>
      <c r="M19" s="815"/>
      <c r="N19" s="779"/>
      <c r="O19" s="779"/>
      <c r="P19" s="816"/>
    </row>
    <row r="20" spans="1:16">
      <c r="A20" s="797"/>
      <c r="B20" s="833"/>
      <c r="D20" s="791"/>
      <c r="E20" s="792"/>
      <c r="F20" s="793"/>
      <c r="G20" s="794"/>
      <c r="H20" s="779"/>
      <c r="I20" s="779"/>
      <c r="J20" s="779"/>
      <c r="K20" s="779"/>
      <c r="L20" s="779"/>
      <c r="M20" s="779"/>
      <c r="N20" s="779"/>
      <c r="O20" s="779"/>
      <c r="P20" s="816"/>
    </row>
    <row r="21" spans="1:16">
      <c r="A21" s="834" t="s">
        <v>415</v>
      </c>
      <c r="B21" s="833"/>
      <c r="D21" s="791"/>
      <c r="E21" s="792"/>
      <c r="F21" s="793"/>
      <c r="G21" s="779"/>
      <c r="H21" s="779"/>
      <c r="I21" s="779"/>
      <c r="J21" s="779"/>
      <c r="K21" s="779"/>
      <c r="L21" s="779"/>
      <c r="M21" s="779"/>
      <c r="N21" s="779"/>
      <c r="O21" s="779"/>
      <c r="P21" s="816"/>
    </row>
    <row r="22" spans="1:16">
      <c r="A22" s="797" t="s">
        <v>416</v>
      </c>
      <c r="B22" s="818">
        <v>1.4999999999999999E-2</v>
      </c>
      <c r="C22" s="819" t="s">
        <v>414</v>
      </c>
      <c r="D22" s="835">
        <f>B22*G41</f>
        <v>41871</v>
      </c>
      <c r="E22" s="810"/>
      <c r="F22" s="819"/>
      <c r="G22" s="779"/>
      <c r="H22" s="779"/>
      <c r="I22" s="836"/>
      <c r="J22" s="779"/>
      <c r="K22" s="779"/>
      <c r="L22" s="779"/>
      <c r="M22" s="779"/>
      <c r="N22" s="779"/>
      <c r="O22" s="837"/>
      <c r="P22" s="838"/>
    </row>
    <row r="23" spans="1:16">
      <c r="A23" s="797" t="s">
        <v>417</v>
      </c>
      <c r="B23" s="818">
        <v>5.0000000000000001E-3</v>
      </c>
      <c r="C23" s="819" t="s">
        <v>414</v>
      </c>
      <c r="D23" s="835">
        <f>B23*G41</f>
        <v>13957</v>
      </c>
      <c r="E23" s="839"/>
      <c r="F23" s="840"/>
      <c r="G23" s="779"/>
      <c r="H23" s="779"/>
      <c r="I23" s="779"/>
      <c r="J23" s="779"/>
      <c r="K23" s="779"/>
      <c r="L23" s="779"/>
      <c r="M23" s="841"/>
      <c r="N23" s="825"/>
      <c r="O23" s="826"/>
      <c r="P23" s="816"/>
    </row>
    <row r="24" spans="1:16" ht="15.75">
      <c r="A24" s="828" t="s">
        <v>52</v>
      </c>
      <c r="B24" s="829"/>
      <c r="C24" s="830"/>
      <c r="D24" s="842">
        <f>SUM(D22:D23)</f>
        <v>55828</v>
      </c>
      <c r="E24" s="792"/>
      <c r="F24" s="793"/>
      <c r="G24" s="779"/>
      <c r="H24" s="779"/>
      <c r="I24" s="779"/>
      <c r="J24" s="779"/>
      <c r="K24" s="779"/>
      <c r="L24" s="779"/>
      <c r="M24" s="779"/>
      <c r="N24" s="779"/>
      <c r="O24" s="779"/>
      <c r="P24" s="779"/>
    </row>
    <row r="25" spans="1:16">
      <c r="A25" s="843"/>
      <c r="B25" s="844"/>
      <c r="C25" s="793"/>
      <c r="D25" s="845"/>
      <c r="E25" s="792"/>
      <c r="F25" s="793"/>
      <c r="G25" s="794"/>
      <c r="H25" s="779"/>
      <c r="I25" s="779"/>
      <c r="J25" s="779"/>
      <c r="K25" s="779"/>
      <c r="L25" s="779"/>
      <c r="M25" s="779"/>
      <c r="N25" s="779"/>
      <c r="O25" s="779"/>
      <c r="P25" s="779"/>
    </row>
    <row r="26" spans="1:16">
      <c r="A26" s="834" t="s">
        <v>313</v>
      </c>
      <c r="B26" s="792"/>
      <c r="C26" s="793"/>
      <c r="D26" s="846"/>
      <c r="E26" s="792"/>
      <c r="F26" s="793"/>
      <c r="G26" s="779"/>
      <c r="H26" s="779"/>
      <c r="I26" s="779"/>
      <c r="J26" s="779"/>
      <c r="K26" s="779"/>
      <c r="L26" s="779"/>
      <c r="M26" s="779"/>
      <c r="N26" s="779"/>
      <c r="O26" s="779"/>
      <c r="P26" s="779"/>
    </row>
    <row r="27" spans="1:16">
      <c r="A27" s="797" t="s">
        <v>418</v>
      </c>
      <c r="B27" s="792"/>
      <c r="C27" s="847"/>
      <c r="D27" s="907">
        <f>D50</f>
        <v>286397.64</v>
      </c>
      <c r="E27" s="810" t="s">
        <v>419</v>
      </c>
      <c r="F27" s="793"/>
      <c r="G27" s="841">
        <f>D27/D49</f>
        <v>143198.82</v>
      </c>
      <c r="H27" s="779"/>
      <c r="I27" s="779"/>
      <c r="J27" s="779"/>
      <c r="K27" s="779"/>
      <c r="L27" s="779"/>
      <c r="M27" s="824"/>
      <c r="N27" s="779"/>
      <c r="O27" s="779"/>
      <c r="P27" s="779"/>
    </row>
    <row r="28" spans="1:16">
      <c r="A28" s="797" t="s">
        <v>420</v>
      </c>
      <c r="B28" s="818">
        <v>4.0000000000000001E-3</v>
      </c>
      <c r="C28" s="819" t="s">
        <v>421</v>
      </c>
      <c r="D28" s="849">
        <f>B28*D6</f>
        <v>9600</v>
      </c>
      <c r="E28" s="810"/>
      <c r="F28" s="793"/>
      <c r="G28" s="815">
        <f>G27/12</f>
        <v>11933.235000000001</v>
      </c>
      <c r="H28" s="779"/>
      <c r="I28" s="779"/>
      <c r="J28" s="779"/>
      <c r="K28" s="779"/>
      <c r="L28" s="779"/>
      <c r="M28" s="779"/>
      <c r="N28" s="779"/>
      <c r="O28" s="779"/>
      <c r="P28" s="779"/>
    </row>
    <row r="29" spans="1:16">
      <c r="A29" s="797" t="s">
        <v>184</v>
      </c>
      <c r="B29" s="792"/>
      <c r="C29" s="793"/>
      <c r="D29" s="850">
        <v>0</v>
      </c>
      <c r="E29" s="792"/>
      <c r="F29" s="793"/>
      <c r="G29" s="815"/>
      <c r="H29" s="779"/>
      <c r="I29" s="779"/>
      <c r="J29" s="779"/>
      <c r="K29" s="779"/>
      <c r="L29" s="779"/>
      <c r="M29" s="779"/>
      <c r="N29" s="779"/>
      <c r="O29" s="779"/>
      <c r="P29" s="779"/>
    </row>
    <row r="30" spans="1:16">
      <c r="A30" s="797" t="s">
        <v>59</v>
      </c>
      <c r="B30" s="792"/>
      <c r="C30" s="793"/>
      <c r="D30" s="850">
        <v>0</v>
      </c>
      <c r="E30" s="792"/>
      <c r="F30" s="793"/>
      <c r="G30" s="779"/>
      <c r="H30" s="779"/>
      <c r="I30" s="779"/>
      <c r="J30" s="779"/>
      <c r="K30" s="779"/>
      <c r="L30" s="779"/>
      <c r="M30" s="779"/>
      <c r="N30" s="779"/>
      <c r="O30" s="779"/>
      <c r="P30" s="779"/>
    </row>
    <row r="31" spans="1:16">
      <c r="A31" s="797" t="s">
        <v>58</v>
      </c>
      <c r="B31" s="851"/>
      <c r="C31" s="793"/>
      <c r="D31" s="809">
        <v>0</v>
      </c>
      <c r="E31" s="832"/>
      <c r="F31" s="793"/>
      <c r="H31" s="779"/>
      <c r="I31" s="779"/>
      <c r="J31" s="779"/>
      <c r="K31" s="779"/>
      <c r="L31" s="779"/>
      <c r="M31" s="779"/>
      <c r="N31" s="779"/>
      <c r="O31" s="779"/>
      <c r="P31" s="816"/>
    </row>
    <row r="32" spans="1:16">
      <c r="A32" s="822" t="s">
        <v>60</v>
      </c>
      <c r="B32" s="852"/>
      <c r="C32" s="853"/>
      <c r="D32" s="854">
        <v>0</v>
      </c>
      <c r="E32" s="792"/>
      <c r="F32" s="793"/>
      <c r="H32" s="779"/>
      <c r="I32" s="779"/>
      <c r="J32" s="779"/>
      <c r="K32" s="779"/>
      <c r="L32" s="779"/>
      <c r="M32" s="779"/>
      <c r="N32" s="779"/>
      <c r="O32" s="779"/>
      <c r="P32" s="779"/>
    </row>
    <row r="33" spans="1:16" ht="15.75">
      <c r="A33" s="797" t="s">
        <v>82</v>
      </c>
      <c r="B33" s="855"/>
      <c r="C33" s="856"/>
      <c r="D33" s="857">
        <v>0</v>
      </c>
      <c r="E33" s="858"/>
      <c r="F33" s="859"/>
    </row>
    <row r="34" spans="1:16" ht="18" thickBot="1">
      <c r="A34" s="822" t="s">
        <v>319</v>
      </c>
      <c r="B34" s="804"/>
      <c r="C34" s="793"/>
      <c r="D34" s="823"/>
      <c r="E34" s="813"/>
      <c r="F34" s="793"/>
      <c r="G34" s="860"/>
      <c r="H34" s="779"/>
      <c r="I34" s="779"/>
      <c r="J34" s="779"/>
      <c r="K34" s="779"/>
      <c r="L34" s="779"/>
      <c r="M34" s="824"/>
      <c r="N34" s="825"/>
      <c r="O34" s="826"/>
      <c r="P34" s="827"/>
    </row>
    <row r="35" spans="1:16" ht="15.75">
      <c r="A35" s="828" t="s">
        <v>52</v>
      </c>
      <c r="B35" s="855"/>
      <c r="C35" s="855"/>
      <c r="D35" s="861">
        <f>SUM(D27:D34)</f>
        <v>295997.64</v>
      </c>
      <c r="E35" s="858"/>
      <c r="F35" s="859"/>
    </row>
    <row r="36" spans="1:16">
      <c r="A36" s="797"/>
      <c r="B36" s="792"/>
      <c r="C36" s="793"/>
      <c r="D36" s="862"/>
      <c r="E36" s="792"/>
      <c r="F36" s="793"/>
      <c r="G36" s="779"/>
      <c r="H36" s="779"/>
      <c r="I36" s="779"/>
      <c r="J36" s="779"/>
      <c r="K36" s="779"/>
      <c r="L36" s="779"/>
      <c r="M36" s="779"/>
      <c r="N36" s="779"/>
      <c r="O36" s="779"/>
      <c r="P36" s="779"/>
    </row>
    <row r="37" spans="1:16">
      <c r="A37" s="797"/>
      <c r="B37" s="792"/>
      <c r="C37" s="793"/>
      <c r="D37" s="791"/>
      <c r="E37" s="863"/>
      <c r="F37" s="793"/>
      <c r="G37" s="864"/>
      <c r="H37" s="779"/>
      <c r="I37" s="779"/>
      <c r="J37" s="779"/>
      <c r="K37" s="779"/>
      <c r="L37" s="779"/>
      <c r="M37" s="779"/>
      <c r="N37" s="779"/>
      <c r="O37" s="779"/>
      <c r="P37" s="779"/>
    </row>
    <row r="38" spans="1:16" ht="15.75">
      <c r="A38" s="834" t="s">
        <v>110</v>
      </c>
      <c r="B38" s="792"/>
      <c r="C38" s="793"/>
      <c r="D38" s="831">
        <f>D19+D24+D35</f>
        <v>391365.44</v>
      </c>
      <c r="E38" s="863"/>
      <c r="F38" s="793"/>
      <c r="G38" s="779"/>
      <c r="H38" s="865"/>
      <c r="I38" s="779"/>
      <c r="J38" s="779"/>
      <c r="K38" s="779"/>
      <c r="L38" s="779"/>
      <c r="M38" s="779"/>
      <c r="N38" s="779"/>
      <c r="O38" s="779"/>
      <c r="P38" s="779"/>
    </row>
    <row r="39" spans="1:16">
      <c r="A39" s="797"/>
      <c r="B39" s="792"/>
      <c r="C39" s="793"/>
      <c r="D39" s="791"/>
      <c r="E39" s="866"/>
      <c r="F39" s="867"/>
      <c r="G39" s="779"/>
      <c r="H39" s="779"/>
      <c r="I39" s="779"/>
      <c r="J39" s="779"/>
      <c r="K39" s="779"/>
      <c r="L39" s="779"/>
      <c r="M39" s="779"/>
      <c r="N39" s="779"/>
      <c r="O39" s="779"/>
      <c r="P39" s="779"/>
    </row>
    <row r="40" spans="1:16">
      <c r="A40" s="797"/>
      <c r="B40" s="792"/>
      <c r="C40" s="793"/>
      <c r="D40" s="868"/>
      <c r="E40" s="792"/>
      <c r="F40" s="793"/>
      <c r="G40" s="869"/>
      <c r="J40" s="781"/>
    </row>
    <row r="41" spans="1:16" ht="15.75">
      <c r="A41" s="870" t="s">
        <v>422</v>
      </c>
      <c r="B41" s="871"/>
      <c r="C41" s="872"/>
      <c r="D41" s="873">
        <f>D6+D38</f>
        <v>2791365.44</v>
      </c>
      <c r="E41" s="874">
        <f>D41/F2</f>
        <v>6646.1081904761904</v>
      </c>
      <c r="F41" s="875" t="s">
        <v>104</v>
      </c>
      <c r="G41" s="876">
        <v>2791400</v>
      </c>
      <c r="I41" s="889" t="s">
        <v>425</v>
      </c>
      <c r="J41" s="908">
        <f>D41*0.05</f>
        <v>139568.272</v>
      </c>
    </row>
    <row r="42" spans="1:16">
      <c r="A42" s="779"/>
      <c r="B42" s="779"/>
      <c r="C42" s="779"/>
      <c r="D42" s="877"/>
      <c r="F42" s="815"/>
      <c r="G42" s="878"/>
      <c r="I42" s="889" t="s">
        <v>426</v>
      </c>
      <c r="J42" s="908">
        <f>D41*0.01</f>
        <v>27913.654399999999</v>
      </c>
    </row>
    <row r="43" spans="1:16">
      <c r="A43" s="779"/>
      <c r="B43" s="779"/>
      <c r="C43" s="879"/>
      <c r="D43" s="880"/>
      <c r="E43" s="815"/>
      <c r="F43" s="881"/>
      <c r="G43" s="909">
        <f>G41/2</f>
        <v>1395700</v>
      </c>
      <c r="H43" s="883"/>
      <c r="I43" s="883"/>
      <c r="J43" s="910"/>
      <c r="K43" s="910"/>
      <c r="L43" s="910"/>
      <c r="M43" s="910"/>
    </row>
    <row r="44" spans="1:16">
      <c r="B44" s="885"/>
      <c r="C44" s="886"/>
      <c r="D44" s="887"/>
      <c r="E44" s="779"/>
      <c r="F44" s="888"/>
      <c r="G44" s="884"/>
      <c r="H44" s="883"/>
      <c r="I44" s="883"/>
      <c r="J44" s="884"/>
      <c r="K44" s="884"/>
      <c r="L44" s="884"/>
      <c r="M44" s="884"/>
      <c r="N44" s="891"/>
      <c r="O44" s="891"/>
      <c r="P44" s="891"/>
    </row>
    <row r="45" spans="1:16">
      <c r="C45" s="889" t="s">
        <v>150</v>
      </c>
      <c r="D45" s="890">
        <v>4.2000000000000003E-2</v>
      </c>
      <c r="F45" s="891"/>
      <c r="G45" s="892"/>
      <c r="H45" s="893"/>
      <c r="I45" s="884"/>
      <c r="J45" s="884"/>
      <c r="K45" s="884"/>
      <c r="L45" s="884"/>
      <c r="M45" s="884"/>
      <c r="N45" s="891"/>
      <c r="O45" s="891"/>
      <c r="P45" s="891"/>
    </row>
    <row r="46" spans="1:16">
      <c r="C46" s="894" t="s">
        <v>101</v>
      </c>
      <c r="D46" s="895">
        <f>G41</f>
        <v>2791400</v>
      </c>
      <c r="F46" s="891"/>
      <c r="G46" s="896"/>
      <c r="H46" s="896"/>
      <c r="I46" s="896"/>
      <c r="J46" s="896"/>
      <c r="K46" s="897"/>
      <c r="L46" s="898"/>
      <c r="M46" s="884"/>
      <c r="N46" s="891"/>
      <c r="O46" s="891"/>
      <c r="P46" s="891"/>
    </row>
    <row r="47" spans="1:16">
      <c r="C47" s="889" t="s">
        <v>68</v>
      </c>
      <c r="D47" s="899">
        <v>0.9</v>
      </c>
      <c r="F47" s="891"/>
      <c r="G47" s="896"/>
      <c r="H47" s="884"/>
      <c r="I47" s="884"/>
      <c r="J47" s="896"/>
      <c r="K47" s="897"/>
      <c r="L47" s="898"/>
      <c r="M47" s="884"/>
      <c r="N47" s="891"/>
      <c r="O47" s="891"/>
      <c r="P47" s="891"/>
    </row>
    <row r="48" spans="1:16">
      <c r="C48" s="889" t="s">
        <v>102</v>
      </c>
      <c r="D48" s="900">
        <f>D45+1.5%</f>
        <v>5.7000000000000002E-2</v>
      </c>
      <c r="F48" s="891"/>
      <c r="G48" s="884"/>
      <c r="H48" s="884"/>
      <c r="I48" s="884"/>
      <c r="J48" s="896"/>
      <c r="K48" s="884"/>
      <c r="L48" s="898"/>
      <c r="M48" s="884"/>
      <c r="N48" s="891"/>
      <c r="O48" s="891"/>
      <c r="P48" s="891"/>
    </row>
    <row r="49" spans="1:16">
      <c r="A49" s="901" t="s">
        <v>423</v>
      </c>
      <c r="C49" s="889" t="s">
        <v>144</v>
      </c>
      <c r="D49" s="902">
        <v>2</v>
      </c>
      <c r="F49" s="891"/>
      <c r="G49" s="884"/>
      <c r="H49" s="884"/>
      <c r="I49" s="884"/>
      <c r="J49" s="884"/>
      <c r="K49" s="884"/>
      <c r="L49" s="884"/>
      <c r="M49" s="884"/>
      <c r="N49" s="891"/>
      <c r="O49" s="891"/>
      <c r="P49" s="891"/>
    </row>
    <row r="50" spans="1:16">
      <c r="C50" s="889"/>
      <c r="D50" s="895">
        <f>D46*D47*D48*D49</f>
        <v>286397.64</v>
      </c>
      <c r="F50" s="891"/>
      <c r="G50" s="884"/>
      <c r="H50" s="884"/>
      <c r="I50" s="884"/>
      <c r="J50" s="896"/>
      <c r="K50" s="884"/>
      <c r="L50" s="884"/>
      <c r="M50" s="884"/>
      <c r="N50" s="891"/>
      <c r="O50" s="891"/>
      <c r="P50" s="891"/>
    </row>
    <row r="51" spans="1:16">
      <c r="F51" s="891"/>
      <c r="G51" s="896"/>
      <c r="H51" s="884"/>
      <c r="I51" s="884"/>
      <c r="J51" s="884"/>
      <c r="K51" s="884"/>
      <c r="L51" s="884"/>
      <c r="M51" s="884"/>
      <c r="N51" s="891"/>
      <c r="O51" s="891"/>
      <c r="P51" s="891"/>
    </row>
    <row r="52" spans="1:16">
      <c r="F52" s="891"/>
      <c r="G52" s="891"/>
      <c r="H52" s="891"/>
      <c r="I52" s="891"/>
      <c r="J52" s="891"/>
      <c r="K52" s="891"/>
      <c r="L52" s="891"/>
      <c r="M52" s="891"/>
      <c r="N52" s="891"/>
      <c r="O52" s="891"/>
      <c r="P52" s="891"/>
    </row>
    <row r="53" spans="1:16">
      <c r="F53" s="1047"/>
      <c r="G53" s="1048"/>
      <c r="H53" s="891"/>
      <c r="I53" s="894"/>
      <c r="J53" s="891"/>
      <c r="K53" s="891"/>
      <c r="L53" s="891"/>
      <c r="M53" s="891"/>
      <c r="N53" s="891"/>
      <c r="O53" s="891"/>
      <c r="P53" s="891"/>
    </row>
    <row r="54" spans="1:16">
      <c r="F54" s="891"/>
      <c r="G54" s="903"/>
      <c r="H54" s="903"/>
      <c r="I54" s="904"/>
      <c r="J54" s="903"/>
      <c r="K54" s="891"/>
      <c r="L54" s="891"/>
      <c r="M54" s="891"/>
      <c r="N54" s="891"/>
      <c r="O54" s="891"/>
      <c r="P54" s="891"/>
    </row>
    <row r="55" spans="1:16">
      <c r="F55" s="891"/>
      <c r="G55" s="891"/>
      <c r="H55" s="891"/>
      <c r="I55" s="905"/>
      <c r="J55" s="891"/>
      <c r="K55" s="891"/>
      <c r="L55" s="891"/>
      <c r="M55" s="891"/>
      <c r="N55" s="891"/>
      <c r="O55" s="891"/>
      <c r="P55" s="891"/>
    </row>
    <row r="56" spans="1:16">
      <c r="F56" s="891"/>
      <c r="G56" s="891"/>
      <c r="H56" s="891"/>
      <c r="I56" s="905"/>
      <c r="J56" s="891"/>
      <c r="K56" s="891"/>
      <c r="L56" s="891"/>
      <c r="M56" s="891"/>
      <c r="N56" s="891"/>
      <c r="O56" s="891"/>
      <c r="P56" s="891"/>
    </row>
    <row r="57" spans="1:16">
      <c r="F57" s="891"/>
      <c r="G57" s="903"/>
      <c r="H57" s="903"/>
      <c r="I57" s="905"/>
      <c r="J57" s="903"/>
      <c r="K57" s="891"/>
      <c r="L57" s="891"/>
      <c r="M57" s="891"/>
      <c r="N57" s="891"/>
      <c r="O57" s="891"/>
      <c r="P57" s="891"/>
    </row>
    <row r="58" spans="1:16">
      <c r="F58" s="891"/>
      <c r="G58" s="891"/>
      <c r="H58" s="891"/>
      <c r="I58" s="891"/>
      <c r="J58" s="891"/>
      <c r="K58" s="891"/>
      <c r="L58" s="891"/>
      <c r="M58" s="891"/>
      <c r="N58" s="891"/>
      <c r="O58" s="891"/>
      <c r="P58" s="891"/>
    </row>
    <row r="59" spans="1:16">
      <c r="F59" s="891"/>
      <c r="G59" s="903"/>
      <c r="H59" s="891"/>
      <c r="I59" s="891"/>
      <c r="J59" s="903"/>
      <c r="K59" s="891"/>
      <c r="L59" s="891"/>
      <c r="M59" s="891"/>
      <c r="N59" s="891"/>
      <c r="O59" s="891"/>
      <c r="P59" s="891"/>
    </row>
    <row r="60" spans="1:16">
      <c r="F60" s="891"/>
      <c r="G60" s="891"/>
      <c r="H60" s="891"/>
      <c r="I60" s="891"/>
      <c r="J60" s="891"/>
      <c r="K60" s="891"/>
      <c r="L60" s="891"/>
      <c r="M60" s="891"/>
      <c r="N60" s="891"/>
      <c r="O60" s="891"/>
      <c r="P60" s="891"/>
    </row>
    <row r="61" spans="1:16">
      <c r="F61" s="891"/>
      <c r="G61" s="891"/>
      <c r="H61" s="891"/>
      <c r="I61" s="891"/>
      <c r="J61" s="891"/>
      <c r="K61" s="891"/>
      <c r="L61" s="891"/>
      <c r="M61" s="891"/>
      <c r="N61" s="891"/>
      <c r="O61" s="891"/>
      <c r="P61" s="891"/>
    </row>
    <row r="62" spans="1:16">
      <c r="F62" s="891"/>
      <c r="G62" s="891"/>
      <c r="H62" s="891"/>
      <c r="I62" s="891"/>
      <c r="J62" s="891"/>
      <c r="K62" s="891"/>
      <c r="L62" s="891"/>
      <c r="M62" s="891"/>
      <c r="N62" s="891"/>
      <c r="O62" s="891"/>
      <c r="P62" s="891"/>
    </row>
  </sheetData>
  <pageMargins left="0.75" right="0.5" top="0.75" bottom="0.5" header="0.5" footer="0.5"/>
  <pageSetup scale="48" firstPageNumber="207" orientation="portrait" useFirstPageNumber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1"/>
    <pageSetUpPr fitToPage="1"/>
  </sheetPr>
  <dimension ref="A1:P61"/>
  <sheetViews>
    <sheetView defaultGridColor="0" colorId="22" zoomScale="69" zoomScaleNormal="69" workbookViewId="0">
      <selection activeCell="E35" sqref="E35"/>
    </sheetView>
  </sheetViews>
  <sheetFormatPr defaultColWidth="9.77734375" defaultRowHeight="15"/>
  <cols>
    <col min="1" max="1" width="43.88671875" style="770" customWidth="1"/>
    <col min="2" max="2" width="10.21875" style="770" customWidth="1"/>
    <col min="3" max="3" width="12" style="770" bestFit="1" customWidth="1"/>
    <col min="4" max="4" width="16" style="772" customWidth="1"/>
    <col min="5" max="5" width="16.109375" style="770" customWidth="1"/>
    <col min="6" max="6" width="13.5546875" style="770" customWidth="1"/>
    <col min="7" max="7" width="14.88671875" style="770" customWidth="1"/>
    <col min="8" max="8" width="9.5546875" style="770" customWidth="1"/>
    <col min="9" max="9" width="7" style="770" customWidth="1"/>
    <col min="10" max="10" width="12.44140625" style="770" customWidth="1"/>
    <col min="11" max="11" width="12.77734375" style="770" bestFit="1" customWidth="1"/>
    <col min="12" max="12" width="14.44140625" style="770" bestFit="1" customWidth="1"/>
    <col min="13" max="13" width="12.44140625" style="770" customWidth="1"/>
    <col min="14" max="14" width="10.6640625" style="770" bestFit="1" customWidth="1"/>
    <col min="15" max="16384" width="9.77734375" style="770"/>
  </cols>
  <sheetData>
    <row r="1" spans="1:16" ht="16.5" customHeight="1">
      <c r="A1" s="769" t="str">
        <f>'[10]Sources and Use'!A1</f>
        <v>WEBSTER AVE, 203RD ST BRONX</v>
      </c>
      <c r="C1" s="771"/>
      <c r="E1" s="769"/>
      <c r="F1" s="773"/>
    </row>
    <row r="2" spans="1:16" ht="16.5" customHeight="1">
      <c r="A2" s="769">
        <f>'[10]Sources and Use'!A2</f>
        <v>0</v>
      </c>
      <c r="C2" s="774"/>
      <c r="E2" s="769" t="str">
        <f>'[2]Sources and Use'!C2</f>
        <v>Units:</v>
      </c>
      <c r="F2" s="773">
        <f>'[2]Units &amp; Income'!B23</f>
        <v>420</v>
      </c>
    </row>
    <row r="3" spans="1:16" ht="15" customHeight="1">
      <c r="A3" s="771"/>
      <c r="B3" s="769"/>
      <c r="C3" s="771"/>
      <c r="G3" s="775"/>
    </row>
    <row r="4" spans="1:16" ht="15.75" customHeight="1">
      <c r="A4" s="769" t="s">
        <v>404</v>
      </c>
      <c r="B4" s="776"/>
      <c r="C4" s="771"/>
      <c r="D4" s="777"/>
      <c r="E4" s="778"/>
      <c r="F4" s="773"/>
    </row>
    <row r="5" spans="1:16">
      <c r="A5" s="779"/>
      <c r="B5" s="779"/>
      <c r="C5" s="779"/>
      <c r="D5" s="780" t="s">
        <v>285</v>
      </c>
      <c r="E5" s="779"/>
      <c r="F5" s="779"/>
      <c r="G5" s="779"/>
      <c r="K5" s="781">
        <v>1000000</v>
      </c>
      <c r="L5" s="781">
        <v>13000000</v>
      </c>
      <c r="M5" s="770">
        <f>K5/L5</f>
        <v>7.6923076923076927E-2</v>
      </c>
    </row>
    <row r="6" spans="1:16" ht="15.75">
      <c r="A6" s="782" t="s">
        <v>179</v>
      </c>
      <c r="B6" s="783"/>
      <c r="C6" s="784"/>
      <c r="D6" s="785">
        <v>139600</v>
      </c>
      <c r="E6" s="786" t="s">
        <v>405</v>
      </c>
      <c r="F6" s="787"/>
      <c r="G6" s="779"/>
      <c r="H6" s="770" t="s">
        <v>406</v>
      </c>
      <c r="K6" s="781">
        <v>120000</v>
      </c>
      <c r="L6" s="781">
        <v>1200000</v>
      </c>
      <c r="M6" s="770">
        <f>K6/L6</f>
        <v>0.1</v>
      </c>
    </row>
    <row r="7" spans="1:16" ht="15.75">
      <c r="A7" s="788"/>
      <c r="B7" s="789"/>
      <c r="C7" s="790"/>
      <c r="D7" s="791"/>
      <c r="E7" s="792"/>
      <c r="F7" s="793"/>
      <c r="G7" s="794"/>
      <c r="H7" s="795">
        <v>64088</v>
      </c>
      <c r="I7" s="770" t="s">
        <v>407</v>
      </c>
      <c r="M7" s="796">
        <f>D6/14200000</f>
        <v>9.8309859154929579E-3</v>
      </c>
    </row>
    <row r="8" spans="1:16">
      <c r="A8" s="797"/>
      <c r="B8" s="792"/>
      <c r="C8" s="793"/>
      <c r="D8" s="791"/>
      <c r="E8" s="798"/>
      <c r="F8" s="793"/>
      <c r="G8" s="799"/>
      <c r="H8" s="800">
        <f>D6/H7</f>
        <v>2.1782548995131692</v>
      </c>
      <c r="I8" s="770" t="s">
        <v>408</v>
      </c>
    </row>
    <row r="9" spans="1:16">
      <c r="A9" s="797"/>
      <c r="B9" s="792"/>
      <c r="C9" s="793"/>
      <c r="D9" s="791"/>
      <c r="E9" s="801"/>
      <c r="F9" s="793"/>
      <c r="G9" s="799"/>
      <c r="H9" s="802"/>
    </row>
    <row r="10" spans="1:16">
      <c r="A10" s="803" t="s">
        <v>181</v>
      </c>
      <c r="B10" s="804"/>
      <c r="C10" s="805"/>
      <c r="D10" s="791"/>
      <c r="E10" s="792"/>
      <c r="F10" s="793"/>
      <c r="G10" s="806"/>
      <c r="H10" s="802">
        <v>420</v>
      </c>
      <c r="I10" s="770" t="s">
        <v>409</v>
      </c>
      <c r="L10" s="779"/>
      <c r="M10" s="779"/>
      <c r="N10" s="779"/>
      <c r="O10" s="779"/>
      <c r="P10" s="779"/>
    </row>
    <row r="11" spans="1:16">
      <c r="A11" s="807"/>
      <c r="B11" s="804"/>
      <c r="C11" s="805"/>
      <c r="D11" s="808"/>
      <c r="E11" s="792"/>
      <c r="F11" s="793"/>
      <c r="G11" s="794"/>
      <c r="H11" s="800">
        <f>D6/H10</f>
        <v>332.38095238095241</v>
      </c>
      <c r="I11" s="770" t="s">
        <v>410</v>
      </c>
      <c r="L11" s="779"/>
      <c r="M11" s="779"/>
      <c r="N11" s="779"/>
      <c r="O11" s="779"/>
      <c r="P11" s="779"/>
    </row>
    <row r="12" spans="1:16">
      <c r="A12" s="797" t="s">
        <v>49</v>
      </c>
      <c r="B12" s="792"/>
      <c r="C12" s="793"/>
      <c r="D12" s="809">
        <v>0</v>
      </c>
      <c r="E12" s="810" t="s">
        <v>411</v>
      </c>
      <c r="F12" s="793"/>
      <c r="G12" s="799"/>
      <c r="H12" s="806"/>
      <c r="L12" s="779"/>
      <c r="M12" s="779"/>
      <c r="N12" s="779"/>
      <c r="O12" s="779"/>
      <c r="P12" s="779"/>
    </row>
    <row r="13" spans="1:16">
      <c r="A13" s="797" t="s">
        <v>51</v>
      </c>
      <c r="B13" s="792"/>
      <c r="C13" s="811"/>
      <c r="D13" s="809">
        <v>200000</v>
      </c>
      <c r="E13" s="810"/>
      <c r="F13" s="793"/>
      <c r="G13" s="799"/>
      <c r="H13" s="806"/>
      <c r="L13" s="779"/>
      <c r="M13" s="779"/>
      <c r="N13" s="779"/>
      <c r="O13" s="779"/>
      <c r="P13" s="779"/>
    </row>
    <row r="14" spans="1:16">
      <c r="A14" s="797" t="s">
        <v>55</v>
      </c>
      <c r="B14" s="792"/>
      <c r="C14" s="793"/>
      <c r="D14" s="812">
        <v>20000</v>
      </c>
      <c r="E14" s="813"/>
      <c r="F14" s="793"/>
      <c r="G14" s="814">
        <f>D14+D17+D29</f>
        <v>43269.38</v>
      </c>
      <c r="H14" s="779"/>
      <c r="I14" s="779"/>
      <c r="J14" s="779"/>
      <c r="K14" s="779"/>
      <c r="L14" s="779"/>
      <c r="M14" s="815"/>
      <c r="N14" s="815"/>
      <c r="O14" s="815"/>
      <c r="P14" s="816"/>
    </row>
    <row r="15" spans="1:16">
      <c r="A15" s="797" t="s">
        <v>361</v>
      </c>
      <c r="C15" s="793"/>
      <c r="D15" s="809">
        <v>2500</v>
      </c>
      <c r="E15" s="813"/>
      <c r="F15" s="793"/>
      <c r="G15" s="817" t="s">
        <v>412</v>
      </c>
      <c r="H15" s="779"/>
      <c r="I15" s="779"/>
      <c r="J15" s="779"/>
      <c r="K15" s="779"/>
      <c r="L15" s="779"/>
      <c r="M15" s="779"/>
      <c r="N15" s="816"/>
      <c r="O15" s="816"/>
      <c r="P15" s="779"/>
    </row>
    <row r="16" spans="1:16">
      <c r="A16" s="797" t="s">
        <v>413</v>
      </c>
      <c r="B16" s="792"/>
      <c r="C16" s="793"/>
      <c r="D16" s="809">
        <f>30000</f>
        <v>30000</v>
      </c>
      <c r="E16" s="813"/>
      <c r="F16" s="793"/>
      <c r="H16" s="779"/>
      <c r="I16" s="779"/>
      <c r="J16" s="779"/>
      <c r="K16" s="779"/>
      <c r="L16" s="779"/>
      <c r="M16" s="815"/>
      <c r="N16" s="815"/>
      <c r="O16" s="815"/>
      <c r="P16" s="816"/>
    </row>
    <row r="17" spans="1:16">
      <c r="A17" s="797" t="s">
        <v>74</v>
      </c>
      <c r="B17" s="818">
        <v>7.0000000000000001E-3</v>
      </c>
      <c r="C17" s="819" t="s">
        <v>414</v>
      </c>
      <c r="D17" s="812">
        <f>B17*G43</f>
        <v>2977.8</v>
      </c>
      <c r="E17" s="820"/>
      <c r="F17" s="793"/>
      <c r="G17" s="779"/>
      <c r="H17" s="779"/>
      <c r="I17" s="779"/>
      <c r="J17" s="779"/>
      <c r="K17" s="779"/>
      <c r="L17" s="779"/>
      <c r="M17" s="779"/>
      <c r="N17" s="779"/>
      <c r="O17" s="779"/>
      <c r="P17" s="779"/>
    </row>
    <row r="18" spans="1:16">
      <c r="A18" s="797" t="s">
        <v>56</v>
      </c>
      <c r="B18" s="792"/>
      <c r="C18" s="793"/>
      <c r="D18" s="809">
        <v>5000</v>
      </c>
      <c r="E18" s="813"/>
      <c r="F18" s="793"/>
      <c r="G18" s="779"/>
      <c r="H18" s="779"/>
      <c r="I18" s="779"/>
      <c r="J18" s="779"/>
      <c r="K18" s="779"/>
      <c r="L18" s="779"/>
      <c r="M18" s="779"/>
      <c r="N18" s="779"/>
      <c r="O18" s="779"/>
      <c r="P18" s="779"/>
    </row>
    <row r="19" spans="1:16">
      <c r="A19" s="797" t="s">
        <v>177</v>
      </c>
      <c r="B19" s="821"/>
      <c r="C19" s="793"/>
      <c r="D19" s="809">
        <v>5000</v>
      </c>
      <c r="E19" s="813"/>
      <c r="F19" s="793"/>
      <c r="G19" s="779"/>
      <c r="H19" s="779"/>
      <c r="I19" s="779"/>
      <c r="J19" s="779"/>
      <c r="K19" s="779"/>
      <c r="L19" s="779"/>
      <c r="M19" s="779"/>
      <c r="N19" s="779"/>
      <c r="O19" s="779"/>
      <c r="P19" s="779"/>
    </row>
    <row r="20" spans="1:16" ht="18" thickBot="1">
      <c r="A20" s="822" t="s">
        <v>319</v>
      </c>
      <c r="B20" s="804"/>
      <c r="C20" s="793"/>
      <c r="D20" s="823"/>
      <c r="E20" s="813"/>
      <c r="F20" s="793"/>
      <c r="G20" s="779"/>
      <c r="H20" s="779"/>
      <c r="I20" s="779"/>
      <c r="J20" s="779"/>
      <c r="K20" s="779"/>
      <c r="L20" s="779"/>
      <c r="M20" s="824"/>
      <c r="N20" s="825"/>
      <c r="O20" s="826"/>
      <c r="P20" s="827"/>
    </row>
    <row r="21" spans="1:16" ht="15.75">
      <c r="A21" s="828" t="s">
        <v>52</v>
      </c>
      <c r="B21" s="829"/>
      <c r="C21" s="830"/>
      <c r="D21" s="831">
        <f>SUM(D12:D20)</f>
        <v>265477.8</v>
      </c>
      <c r="E21" s="832"/>
      <c r="F21" s="793"/>
      <c r="G21" s="794"/>
      <c r="H21" s="779"/>
      <c r="I21" s="779"/>
      <c r="J21" s="779"/>
      <c r="K21" s="779"/>
      <c r="L21" s="779"/>
      <c r="M21" s="815"/>
      <c r="N21" s="779"/>
      <c r="O21" s="779"/>
      <c r="P21" s="816"/>
    </row>
    <row r="22" spans="1:16">
      <c r="A22" s="797"/>
      <c r="B22" s="833"/>
      <c r="D22" s="791"/>
      <c r="E22" s="792"/>
      <c r="F22" s="793"/>
      <c r="G22" s="794"/>
      <c r="H22" s="779"/>
      <c r="I22" s="779"/>
      <c r="J22" s="779"/>
      <c r="K22" s="779"/>
      <c r="L22" s="779"/>
      <c r="M22" s="779"/>
      <c r="N22" s="779"/>
      <c r="O22" s="779"/>
      <c r="P22" s="816"/>
    </row>
    <row r="23" spans="1:16">
      <c r="A23" s="834" t="s">
        <v>415</v>
      </c>
      <c r="B23" s="833"/>
      <c r="D23" s="791"/>
      <c r="E23" s="792"/>
      <c r="F23" s="793"/>
      <c r="G23" s="779"/>
      <c r="H23" s="779"/>
      <c r="I23" s="779"/>
      <c r="J23" s="779"/>
      <c r="K23" s="779"/>
      <c r="L23" s="779"/>
      <c r="M23" s="779"/>
      <c r="N23" s="779"/>
      <c r="O23" s="779"/>
      <c r="P23" s="816"/>
    </row>
    <row r="24" spans="1:16">
      <c r="A24" s="797" t="s">
        <v>416</v>
      </c>
      <c r="B24" s="818">
        <v>0</v>
      </c>
      <c r="C24" s="819" t="s">
        <v>414</v>
      </c>
      <c r="D24" s="835">
        <f>B24*G43</f>
        <v>0</v>
      </c>
      <c r="E24" s="810"/>
      <c r="F24" s="819"/>
      <c r="G24" s="779"/>
      <c r="H24" s="779"/>
      <c r="I24" s="836"/>
      <c r="J24" s="779"/>
      <c r="K24" s="779"/>
      <c r="L24" s="779"/>
      <c r="M24" s="779"/>
      <c r="N24" s="779"/>
      <c r="O24" s="837"/>
      <c r="P24" s="838"/>
    </row>
    <row r="25" spans="1:16">
      <c r="A25" s="797" t="s">
        <v>417</v>
      </c>
      <c r="B25" s="818">
        <v>0</v>
      </c>
      <c r="C25" s="819" t="s">
        <v>414</v>
      </c>
      <c r="D25" s="835">
        <f>B25*G43</f>
        <v>0</v>
      </c>
      <c r="E25" s="839"/>
      <c r="F25" s="840"/>
      <c r="G25" s="779"/>
      <c r="H25" s="779"/>
      <c r="I25" s="779"/>
      <c r="J25" s="779"/>
      <c r="K25" s="779"/>
      <c r="L25" s="779"/>
      <c r="M25" s="841"/>
      <c r="N25" s="825"/>
      <c r="O25" s="826"/>
      <c r="P25" s="816"/>
    </row>
    <row r="26" spans="1:16" ht="15.75">
      <c r="A26" s="828" t="s">
        <v>52</v>
      </c>
      <c r="B26" s="829"/>
      <c r="C26" s="830"/>
      <c r="D26" s="842">
        <f>SUM(D24:D25)</f>
        <v>0</v>
      </c>
      <c r="E26" s="792"/>
      <c r="F26" s="793"/>
      <c r="G26" s="779"/>
      <c r="H26" s="779"/>
      <c r="I26" s="779"/>
      <c r="J26" s="779"/>
      <c r="K26" s="779"/>
      <c r="L26" s="779"/>
      <c r="M26" s="779"/>
      <c r="N26" s="779"/>
      <c r="O26" s="779"/>
      <c r="P26" s="779"/>
    </row>
    <row r="27" spans="1:16">
      <c r="A27" s="843"/>
      <c r="B27" s="844"/>
      <c r="C27" s="793"/>
      <c r="D27" s="845"/>
      <c r="E27" s="792"/>
      <c r="F27" s="793"/>
      <c r="G27" s="794"/>
      <c r="H27" s="779"/>
      <c r="I27" s="779"/>
      <c r="J27" s="779"/>
      <c r="K27" s="779"/>
      <c r="L27" s="779"/>
      <c r="M27" s="779"/>
      <c r="N27" s="779"/>
      <c r="O27" s="779"/>
      <c r="P27" s="779"/>
    </row>
    <row r="28" spans="1:16">
      <c r="A28" s="834" t="s">
        <v>313</v>
      </c>
      <c r="B28" s="792"/>
      <c r="C28" s="793"/>
      <c r="D28" s="846"/>
      <c r="E28" s="792"/>
      <c r="F28" s="793"/>
      <c r="G28" s="779"/>
      <c r="H28" s="779"/>
      <c r="I28" s="779"/>
      <c r="J28" s="779"/>
      <c r="K28" s="779"/>
      <c r="L28" s="779"/>
      <c r="M28" s="779"/>
      <c r="N28" s="779"/>
      <c r="O28" s="779"/>
      <c r="P28" s="779"/>
    </row>
    <row r="29" spans="1:16">
      <c r="A29" s="797" t="s">
        <v>418</v>
      </c>
      <c r="B29" s="792"/>
      <c r="C29" s="847"/>
      <c r="D29" s="848">
        <f>D52</f>
        <v>20291.579999999998</v>
      </c>
      <c r="E29" s="810" t="s">
        <v>419</v>
      </c>
      <c r="F29" s="793"/>
      <c r="G29" s="841">
        <f>D29/D51</f>
        <v>10145.789999999999</v>
      </c>
      <c r="H29" s="779"/>
      <c r="I29" s="779"/>
      <c r="J29" s="779"/>
      <c r="K29" s="779"/>
      <c r="L29" s="779"/>
      <c r="M29" s="824"/>
      <c r="N29" s="779"/>
      <c r="O29" s="779"/>
      <c r="P29" s="779"/>
    </row>
    <row r="30" spans="1:16">
      <c r="A30" s="797" t="s">
        <v>420</v>
      </c>
      <c r="B30" s="818">
        <v>4.0000000000000001E-3</v>
      </c>
      <c r="C30" s="819" t="s">
        <v>421</v>
      </c>
      <c r="D30" s="849">
        <v>0</v>
      </c>
      <c r="E30" s="810"/>
      <c r="F30" s="793"/>
      <c r="G30" s="815">
        <f>G29/12</f>
        <v>845.48249999999996</v>
      </c>
      <c r="H30" s="779"/>
      <c r="I30" s="779"/>
      <c r="J30" s="779"/>
      <c r="K30" s="779"/>
      <c r="L30" s="779"/>
      <c r="M30" s="779"/>
      <c r="N30" s="779"/>
      <c r="O30" s="779"/>
      <c r="P30" s="779"/>
    </row>
    <row r="31" spans="1:16">
      <c r="A31" s="797" t="s">
        <v>184</v>
      </c>
      <c r="B31" s="792"/>
      <c r="C31" s="793"/>
      <c r="D31" s="850">
        <v>0</v>
      </c>
      <c r="E31" s="792"/>
      <c r="F31" s="793"/>
      <c r="G31" s="815"/>
      <c r="H31" s="779"/>
      <c r="I31" s="779"/>
      <c r="J31" s="779"/>
      <c r="K31" s="779"/>
      <c r="L31" s="779"/>
      <c r="M31" s="779"/>
      <c r="N31" s="779"/>
      <c r="O31" s="779"/>
      <c r="P31" s="779"/>
    </row>
    <row r="32" spans="1:16">
      <c r="A32" s="797" t="s">
        <v>59</v>
      </c>
      <c r="B32" s="792"/>
      <c r="C32" s="793"/>
      <c r="D32" s="850">
        <v>0</v>
      </c>
      <c r="E32" s="792"/>
      <c r="F32" s="793"/>
      <c r="G32" s="779"/>
      <c r="H32" s="779"/>
      <c r="I32" s="779"/>
      <c r="J32" s="779"/>
      <c r="K32" s="779"/>
      <c r="L32" s="779"/>
      <c r="M32" s="779"/>
      <c r="N32" s="779"/>
      <c r="O32" s="779"/>
      <c r="P32" s="779"/>
    </row>
    <row r="33" spans="1:16">
      <c r="A33" s="797" t="s">
        <v>58</v>
      </c>
      <c r="B33" s="851"/>
      <c r="C33" s="793"/>
      <c r="D33" s="809">
        <v>0</v>
      </c>
      <c r="E33" s="832"/>
      <c r="F33" s="793"/>
      <c r="H33" s="779"/>
      <c r="I33" s="779"/>
      <c r="J33" s="779"/>
      <c r="K33" s="779"/>
      <c r="L33" s="779"/>
      <c r="M33" s="779"/>
      <c r="N33" s="779"/>
      <c r="O33" s="779"/>
      <c r="P33" s="816"/>
    </row>
    <row r="34" spans="1:16">
      <c r="A34" s="822" t="s">
        <v>60</v>
      </c>
      <c r="B34" s="852"/>
      <c r="C34" s="853"/>
      <c r="D34" s="854">
        <v>0</v>
      </c>
      <c r="E34" s="792"/>
      <c r="F34" s="793"/>
      <c r="H34" s="779"/>
      <c r="I34" s="779"/>
      <c r="J34" s="779"/>
      <c r="K34" s="779"/>
      <c r="L34" s="779"/>
      <c r="M34" s="779"/>
      <c r="N34" s="779"/>
      <c r="O34" s="779"/>
      <c r="P34" s="779"/>
    </row>
    <row r="35" spans="1:16" ht="15.75">
      <c r="A35" s="797" t="s">
        <v>82</v>
      </c>
      <c r="B35" s="855"/>
      <c r="C35" s="856"/>
      <c r="D35" s="857">
        <v>0</v>
      </c>
      <c r="E35" s="858"/>
      <c r="F35" s="859"/>
    </row>
    <row r="36" spans="1:16" ht="18" thickBot="1">
      <c r="A36" s="822" t="s">
        <v>319</v>
      </c>
      <c r="B36" s="804"/>
      <c r="C36" s="793"/>
      <c r="D36" s="823"/>
      <c r="E36" s="813"/>
      <c r="F36" s="793"/>
      <c r="G36" s="860"/>
      <c r="H36" s="779"/>
      <c r="I36" s="779"/>
      <c r="J36" s="779"/>
      <c r="K36" s="779"/>
      <c r="L36" s="779"/>
      <c r="M36" s="824"/>
      <c r="N36" s="825"/>
      <c r="O36" s="826"/>
      <c r="P36" s="827"/>
    </row>
    <row r="37" spans="1:16" ht="15.75">
      <c r="A37" s="828" t="s">
        <v>52</v>
      </c>
      <c r="B37" s="855"/>
      <c r="C37" s="855"/>
      <c r="D37" s="861">
        <f>SUM(D29:D36)</f>
        <v>20291.579999999998</v>
      </c>
      <c r="E37" s="858"/>
      <c r="F37" s="859"/>
    </row>
    <row r="38" spans="1:16">
      <c r="A38" s="797"/>
      <c r="B38" s="792"/>
      <c r="C38" s="793"/>
      <c r="D38" s="862"/>
      <c r="E38" s="792"/>
      <c r="F38" s="793"/>
      <c r="G38" s="779"/>
      <c r="H38" s="779"/>
      <c r="I38" s="779"/>
      <c r="J38" s="779"/>
      <c r="K38" s="779"/>
      <c r="L38" s="779"/>
      <c r="M38" s="779"/>
      <c r="N38" s="779"/>
      <c r="O38" s="779"/>
      <c r="P38" s="779"/>
    </row>
    <row r="39" spans="1:16">
      <c r="A39" s="797"/>
      <c r="B39" s="792"/>
      <c r="C39" s="793"/>
      <c r="D39" s="791"/>
      <c r="E39" s="863"/>
      <c r="F39" s="793"/>
      <c r="G39" s="864"/>
      <c r="H39" s="779"/>
      <c r="I39" s="779"/>
      <c r="J39" s="779"/>
      <c r="K39" s="779"/>
      <c r="L39" s="779"/>
      <c r="M39" s="779"/>
      <c r="N39" s="779"/>
      <c r="O39" s="779"/>
      <c r="P39" s="779"/>
    </row>
    <row r="40" spans="1:16" ht="15.75">
      <c r="A40" s="834" t="s">
        <v>110</v>
      </c>
      <c r="B40" s="792"/>
      <c r="C40" s="793"/>
      <c r="D40" s="831">
        <f>D21+D26+D37</f>
        <v>285769.38</v>
      </c>
      <c r="E40" s="863"/>
      <c r="F40" s="793"/>
      <c r="G40" s="779"/>
      <c r="H40" s="865"/>
      <c r="I40" s="779"/>
      <c r="J40" s="779"/>
      <c r="K40" s="779"/>
      <c r="L40" s="779"/>
      <c r="M40" s="779"/>
      <c r="N40" s="779"/>
      <c r="O40" s="779"/>
      <c r="P40" s="779"/>
    </row>
    <row r="41" spans="1:16">
      <c r="A41" s="797"/>
      <c r="B41" s="792"/>
      <c r="C41" s="793"/>
      <c r="D41" s="791"/>
      <c r="E41" s="866"/>
      <c r="F41" s="867"/>
      <c r="G41" s="779"/>
      <c r="H41" s="779"/>
      <c r="I41" s="779"/>
      <c r="J41" s="779"/>
      <c r="K41" s="779"/>
      <c r="L41" s="779"/>
      <c r="M41" s="779"/>
      <c r="N41" s="779"/>
      <c r="O41" s="779"/>
      <c r="P41" s="779"/>
    </row>
    <row r="42" spans="1:16">
      <c r="A42" s="797"/>
      <c r="B42" s="792"/>
      <c r="C42" s="793"/>
      <c r="D42" s="868"/>
      <c r="E42" s="792"/>
      <c r="F42" s="793"/>
      <c r="G42" s="869"/>
      <c r="J42" s="781"/>
    </row>
    <row r="43" spans="1:16" ht="15.75">
      <c r="A43" s="870" t="s">
        <v>422</v>
      </c>
      <c r="B43" s="871"/>
      <c r="C43" s="872"/>
      <c r="D43" s="873">
        <f>D6+D40</f>
        <v>425369.38</v>
      </c>
      <c r="E43" s="874">
        <f>D43/F2</f>
        <v>1012.7842380952382</v>
      </c>
      <c r="F43" s="875" t="s">
        <v>104</v>
      </c>
      <c r="G43" s="876">
        <v>425400</v>
      </c>
    </row>
    <row r="44" spans="1:16">
      <c r="A44" s="779"/>
      <c r="B44" s="779"/>
      <c r="C44" s="779"/>
      <c r="D44" s="877"/>
      <c r="F44" s="815"/>
      <c r="G44" s="878"/>
    </row>
    <row r="45" spans="1:16">
      <c r="A45" s="779"/>
      <c r="B45" s="779"/>
      <c r="C45" s="879"/>
      <c r="D45" s="880"/>
      <c r="E45" s="815"/>
      <c r="F45" s="881"/>
      <c r="G45" s="882"/>
      <c r="H45" s="883"/>
      <c r="I45" s="883"/>
      <c r="J45" s="884"/>
      <c r="K45" s="884"/>
      <c r="L45" s="884"/>
      <c r="M45" s="884"/>
    </row>
    <row r="46" spans="1:16">
      <c r="B46" s="885"/>
      <c r="C46" s="886"/>
      <c r="D46" s="887"/>
      <c r="E46" s="779"/>
      <c r="F46" s="888"/>
      <c r="G46" s="884"/>
      <c r="H46" s="883"/>
      <c r="I46" s="883"/>
      <c r="J46" s="884"/>
      <c r="K46" s="884"/>
      <c r="L46" s="884"/>
      <c r="M46" s="884"/>
    </row>
    <row r="47" spans="1:16">
      <c r="C47" s="889" t="s">
        <v>150</v>
      </c>
      <c r="D47" s="890">
        <v>2.1499999999999998E-2</v>
      </c>
      <c r="F47" s="891"/>
      <c r="G47" s="892"/>
      <c r="H47" s="893"/>
      <c r="I47" s="884"/>
      <c r="J47" s="884"/>
      <c r="K47" s="884"/>
      <c r="L47" s="884"/>
      <c r="M47" s="884"/>
    </row>
    <row r="48" spans="1:16">
      <c r="C48" s="894" t="s">
        <v>101</v>
      </c>
      <c r="D48" s="895">
        <f>G43</f>
        <v>425400</v>
      </c>
      <c r="F48" s="891"/>
      <c r="G48" s="896"/>
      <c r="H48" s="896"/>
      <c r="I48" s="896"/>
      <c r="J48" s="896"/>
      <c r="K48" s="897"/>
      <c r="L48" s="898"/>
      <c r="M48" s="884"/>
    </row>
    <row r="49" spans="1:13">
      <c r="C49" s="889" t="s">
        <v>68</v>
      </c>
      <c r="D49" s="899">
        <v>0.9</v>
      </c>
      <c r="F49" s="891"/>
      <c r="G49" s="896"/>
      <c r="H49" s="884"/>
      <c r="I49" s="884"/>
      <c r="J49" s="896"/>
      <c r="K49" s="897"/>
      <c r="L49" s="898"/>
      <c r="M49" s="884"/>
    </row>
    <row r="50" spans="1:13">
      <c r="C50" s="889" t="s">
        <v>102</v>
      </c>
      <c r="D50" s="900">
        <f>D47+0.5%</f>
        <v>2.6499999999999999E-2</v>
      </c>
      <c r="F50" s="891"/>
      <c r="G50" s="884"/>
      <c r="H50" s="884"/>
      <c r="I50" s="884"/>
      <c r="J50" s="896"/>
      <c r="K50" s="884"/>
      <c r="L50" s="898"/>
      <c r="M50" s="884"/>
    </row>
    <row r="51" spans="1:13">
      <c r="A51" s="901" t="s">
        <v>423</v>
      </c>
      <c r="C51" s="889" t="s">
        <v>144</v>
      </c>
      <c r="D51" s="902">
        <v>2</v>
      </c>
      <c r="F51" s="891"/>
      <c r="G51" s="884"/>
      <c r="H51" s="884"/>
      <c r="I51" s="884"/>
      <c r="J51" s="884"/>
      <c r="K51" s="884"/>
      <c r="L51" s="884"/>
      <c r="M51" s="884"/>
    </row>
    <row r="52" spans="1:13">
      <c r="C52" s="889"/>
      <c r="D52" s="895">
        <f>D48*D49*D50*D51</f>
        <v>20291.579999999998</v>
      </c>
      <c r="F52" s="891"/>
      <c r="G52" s="884"/>
      <c r="H52" s="884"/>
      <c r="I52" s="884"/>
      <c r="J52" s="896"/>
      <c r="K52" s="884"/>
      <c r="L52" s="884"/>
      <c r="M52" s="884"/>
    </row>
    <row r="53" spans="1:13">
      <c r="F53" s="891"/>
      <c r="G53" s="896"/>
      <c r="H53" s="884"/>
      <c r="I53" s="884"/>
      <c r="J53" s="884"/>
      <c r="K53" s="884"/>
      <c r="L53" s="884"/>
      <c r="M53" s="884"/>
    </row>
    <row r="54" spans="1:13">
      <c r="F54" s="891"/>
      <c r="G54" s="891"/>
      <c r="H54" s="891"/>
      <c r="I54" s="891"/>
      <c r="J54" s="891"/>
      <c r="K54" s="891"/>
      <c r="L54" s="891"/>
      <c r="M54" s="891"/>
    </row>
    <row r="55" spans="1:13">
      <c r="F55" s="891"/>
      <c r="G55" s="891"/>
      <c r="H55" s="891"/>
      <c r="I55" s="894"/>
      <c r="J55" s="891"/>
      <c r="K55" s="891"/>
      <c r="L55" s="891"/>
      <c r="M55" s="891"/>
    </row>
    <row r="56" spans="1:13">
      <c r="F56" s="891"/>
      <c r="G56" s="903"/>
      <c r="H56" s="903"/>
      <c r="I56" s="904"/>
      <c r="J56" s="903"/>
      <c r="K56" s="891"/>
      <c r="L56" s="891"/>
      <c r="M56" s="891"/>
    </row>
    <row r="57" spans="1:13">
      <c r="F57" s="891"/>
      <c r="G57" s="891"/>
      <c r="H57" s="891"/>
      <c r="I57" s="905"/>
      <c r="J57" s="891"/>
      <c r="K57" s="891"/>
      <c r="L57" s="891"/>
      <c r="M57" s="891"/>
    </row>
    <row r="58" spans="1:13">
      <c r="F58" s="891"/>
      <c r="G58" s="891"/>
      <c r="H58" s="891"/>
      <c r="I58" s="905"/>
      <c r="J58" s="891"/>
      <c r="K58" s="891"/>
      <c r="L58" s="891"/>
      <c r="M58" s="891"/>
    </row>
    <row r="59" spans="1:13">
      <c r="F59" s="891"/>
      <c r="G59" s="903"/>
      <c r="H59" s="903"/>
      <c r="I59" s="905"/>
      <c r="J59" s="903"/>
      <c r="K59" s="891"/>
      <c r="L59" s="891"/>
      <c r="M59" s="891"/>
    </row>
    <row r="60" spans="1:13">
      <c r="F60" s="891"/>
      <c r="G60" s="891"/>
      <c r="H60" s="891"/>
      <c r="I60" s="891"/>
      <c r="J60" s="891"/>
      <c r="K60" s="891"/>
      <c r="L60" s="891"/>
      <c r="M60" s="891"/>
    </row>
    <row r="61" spans="1:13">
      <c r="F61" s="891"/>
      <c r="G61" s="903"/>
      <c r="H61" s="891"/>
      <c r="I61" s="891"/>
      <c r="J61" s="903"/>
      <c r="K61" s="891"/>
      <c r="L61" s="891"/>
      <c r="M61" s="891"/>
    </row>
  </sheetData>
  <pageMargins left="0.75" right="0.5" top="0.75" bottom="0.5" header="0.5" footer="0.5"/>
  <pageSetup scale="49" firstPageNumber="207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43"/>
  <sheetViews>
    <sheetView defaultGridColor="0" colorId="22" zoomScale="75" zoomScaleNormal="75" zoomScaleSheetLayoutView="75" workbookViewId="0">
      <selection activeCell="B46" sqref="B46"/>
    </sheetView>
  </sheetViews>
  <sheetFormatPr defaultColWidth="9.77734375" defaultRowHeight="15"/>
  <cols>
    <col min="1" max="1" width="43.44140625" style="598" customWidth="1"/>
    <col min="2" max="2" width="15.88671875" style="598" customWidth="1"/>
    <col min="3" max="3" width="14" style="1177" customWidth="1"/>
    <col min="4" max="4" width="10.77734375" style="1178" customWidth="1"/>
    <col min="5" max="16384" width="9.77734375" style="598"/>
  </cols>
  <sheetData>
    <row r="1" spans="1:8" ht="15.75">
      <c r="A1" s="411" t="s">
        <v>489</v>
      </c>
      <c r="B1" s="1167"/>
      <c r="C1" s="380"/>
      <c r="D1" s="543"/>
      <c r="E1" s="2"/>
      <c r="F1" s="2"/>
      <c r="G1" s="2"/>
      <c r="H1" s="2"/>
    </row>
    <row r="2" spans="1:8" ht="15.75">
      <c r="A2" s="379" t="s">
        <v>490</v>
      </c>
      <c r="B2" s="1159"/>
      <c r="C2" s="413" t="s">
        <v>218</v>
      </c>
      <c r="D2" s="412">
        <v>100</v>
      </c>
      <c r="E2" s="2"/>
      <c r="F2" s="2"/>
      <c r="G2" s="2"/>
      <c r="H2" s="2"/>
    </row>
    <row r="3" spans="1:8" ht="23.25">
      <c r="A3" s="8"/>
      <c r="B3" s="604"/>
      <c r="C3" s="1168"/>
      <c r="D3" s="57"/>
      <c r="E3" s="2"/>
      <c r="F3" s="2"/>
      <c r="G3" s="2"/>
      <c r="H3" s="2"/>
    </row>
    <row r="4" spans="1:8" ht="15.75">
      <c r="A4" s="24" t="s">
        <v>9</v>
      </c>
      <c r="B4" s="2"/>
      <c r="C4" s="1169"/>
      <c r="D4" s="50"/>
      <c r="E4" s="11"/>
      <c r="H4" s="2"/>
    </row>
    <row r="5" spans="1:8" ht="16.5" thickBot="1">
      <c r="A5" s="210"/>
      <c r="B5" s="300"/>
      <c r="C5" s="1170"/>
      <c r="D5" s="213"/>
      <c r="E5" s="11"/>
      <c r="F5" s="11"/>
      <c r="G5" s="11"/>
      <c r="H5" s="2"/>
    </row>
    <row r="6" spans="1:8" ht="16.5" thickTop="1">
      <c r="A6" s="219" t="s">
        <v>80</v>
      </c>
      <c r="B6" s="2"/>
      <c r="C6" s="1171" t="s">
        <v>118</v>
      </c>
      <c r="D6" s="222" t="s">
        <v>119</v>
      </c>
      <c r="E6" s="11"/>
      <c r="F6" s="11"/>
      <c r="G6" s="5"/>
      <c r="H6" s="2"/>
    </row>
    <row r="7" spans="1:8">
      <c r="A7" s="1172" t="str">
        <f>'Devel. Bud-shltr'!A75</f>
        <v>First Mortgage (Lender:  Construction Loan  )</v>
      </c>
      <c r="B7" s="532">
        <f>'Devel. Bud-shltr'!D75</f>
        <v>15822801.782441225</v>
      </c>
      <c r="C7" s="617">
        <f>B7/$D$2</f>
        <v>158228.01782441224</v>
      </c>
      <c r="D7" s="39">
        <f t="shared" ref="D7:D14" si="0">B7/$B$16</f>
        <v>1</v>
      </c>
      <c r="E7" s="51" t="s">
        <v>115</v>
      </c>
      <c r="F7" s="11"/>
      <c r="G7" s="4"/>
      <c r="H7" s="2"/>
    </row>
    <row r="8" spans="1:8" hidden="1">
      <c r="A8" s="1172" t="str">
        <f>'Devel. Bud-shltr'!A76</f>
        <v>Second Mortgage (Lender: )</v>
      </c>
      <c r="B8" s="532">
        <f>'Devel. Bud-shltr'!D76</f>
        <v>0</v>
      </c>
      <c r="C8" s="617">
        <f t="shared" ref="C8:C14" si="1">B8/$D$2</f>
        <v>0</v>
      </c>
      <c r="D8" s="39">
        <f>B8/$B$16</f>
        <v>0</v>
      </c>
      <c r="E8" s="11"/>
      <c r="F8" s="11"/>
      <c r="G8" s="4"/>
      <c r="H8" s="2"/>
    </row>
    <row r="9" spans="1:8" hidden="1">
      <c r="A9" s="1172" t="str">
        <f>'Devel. Bud-shltr'!A77</f>
        <v>Third Mortgage (Lender:  )</v>
      </c>
      <c r="B9" s="532">
        <f>'Devel. Bud-shltr'!D77</f>
        <v>0</v>
      </c>
      <c r="C9" s="617">
        <f t="shared" si="1"/>
        <v>0</v>
      </c>
      <c r="D9" s="39">
        <f t="shared" si="0"/>
        <v>0</v>
      </c>
      <c r="E9" s="11"/>
      <c r="F9" s="11"/>
      <c r="G9" s="4"/>
      <c r="H9" s="2"/>
    </row>
    <row r="10" spans="1:8" hidden="1">
      <c r="A10" s="1172" t="str">
        <f>'Devel. Bud-shltr'!A78</f>
        <v>Fourth Mortgage (Lender:  )</v>
      </c>
      <c r="B10" s="532">
        <f>'Devel. Bud-shltr'!D78</f>
        <v>0</v>
      </c>
      <c r="C10" s="617">
        <f t="shared" si="1"/>
        <v>0</v>
      </c>
      <c r="D10" s="39">
        <f t="shared" si="0"/>
        <v>0</v>
      </c>
      <c r="E10" s="11"/>
      <c r="F10" s="11"/>
      <c r="G10" s="4"/>
      <c r="H10" s="2"/>
    </row>
    <row r="11" spans="1:8" hidden="1">
      <c r="A11" s="1172" t="str">
        <f>'Devel. Bud-shltr'!A79</f>
        <v>Tax Credit Equity</v>
      </c>
      <c r="B11" s="532">
        <f>'Devel. Bud-shltr'!D79</f>
        <v>0</v>
      </c>
      <c r="C11" s="617">
        <f t="shared" si="1"/>
        <v>0</v>
      </c>
      <c r="D11" s="39">
        <f t="shared" si="0"/>
        <v>0</v>
      </c>
      <c r="E11" s="11"/>
      <c r="F11" s="11"/>
      <c r="G11" s="4"/>
      <c r="H11" s="2"/>
    </row>
    <row r="12" spans="1:8" hidden="1">
      <c r="A12" s="1172" t="str">
        <f>'Devel. Bud-shltr'!A80</f>
        <v>Deferred Developer's Fee</v>
      </c>
      <c r="B12" s="532">
        <f>'Devel. Bud-shltr'!D80</f>
        <v>0</v>
      </c>
      <c r="C12" s="617">
        <f t="shared" si="1"/>
        <v>0</v>
      </c>
      <c r="D12" s="39">
        <f t="shared" si="0"/>
        <v>0</v>
      </c>
      <c r="E12" s="11"/>
      <c r="F12" s="11"/>
      <c r="G12" s="4"/>
      <c r="H12" s="2"/>
    </row>
    <row r="13" spans="1:8" hidden="1">
      <c r="A13" s="1172" t="str">
        <f>'Devel. Bud-shltr'!A81</f>
        <v>Other source (Specify:  )</v>
      </c>
      <c r="B13" s="532">
        <f>'Devel. Bud-shltr'!D81</f>
        <v>0</v>
      </c>
      <c r="C13" s="617">
        <f t="shared" si="1"/>
        <v>0</v>
      </c>
      <c r="D13" s="39">
        <f t="shared" si="0"/>
        <v>0</v>
      </c>
      <c r="E13" s="11"/>
      <c r="F13" s="11"/>
      <c r="G13" s="4"/>
      <c r="H13" s="2"/>
    </row>
    <row r="14" spans="1:8">
      <c r="A14" s="1172" t="str">
        <f>'Devel. Bud-shltr'!A82</f>
        <v>Other source (Specify: Deferred Capitalized/Operating Reserves )</v>
      </c>
      <c r="B14" s="532">
        <f>'Devel. Bud-shltr'!D82</f>
        <v>130000</v>
      </c>
      <c r="C14" s="617">
        <f t="shared" si="1"/>
        <v>1300</v>
      </c>
      <c r="D14" s="39">
        <f t="shared" si="0"/>
        <v>8.215991187114708E-3</v>
      </c>
      <c r="E14" s="11"/>
      <c r="F14" s="11"/>
      <c r="G14" s="4"/>
      <c r="H14" s="2"/>
    </row>
    <row r="15" spans="1:8">
      <c r="A15" s="1173"/>
      <c r="B15" s="618"/>
      <c r="C15" s="617"/>
      <c r="D15" s="39"/>
      <c r="E15" s="2"/>
      <c r="F15" s="9"/>
      <c r="G15" s="4"/>
      <c r="H15" s="52"/>
    </row>
    <row r="16" spans="1:8">
      <c r="A16" s="278" t="s">
        <v>10</v>
      </c>
      <c r="B16" s="619">
        <f>B7+B8+B9+B11+B12+B13</f>
        <v>15822801.782441225</v>
      </c>
      <c r="C16" s="620">
        <f>B16/$D$2</f>
        <v>158228.01782441224</v>
      </c>
      <c r="D16" s="218">
        <f>D7+D8+D11+D12+D13</f>
        <v>1</v>
      </c>
      <c r="E16" s="11"/>
      <c r="F16" s="53"/>
      <c r="G16" s="4"/>
      <c r="H16" s="2"/>
    </row>
    <row r="17" spans="1:8" ht="15.75" thickBot="1">
      <c r="A17" s="300"/>
      <c r="B17" s="621"/>
      <c r="C17" s="622"/>
      <c r="D17" s="215"/>
      <c r="E17" s="11"/>
      <c r="F17" s="11"/>
      <c r="G17" s="11"/>
      <c r="H17" s="2"/>
    </row>
    <row r="18" spans="1:8" ht="16.5" thickTop="1">
      <c r="A18" s="219" t="s">
        <v>78</v>
      </c>
      <c r="B18" s="623"/>
      <c r="C18" s="617"/>
      <c r="D18" s="217"/>
      <c r="E18" s="11"/>
      <c r="F18" s="11"/>
      <c r="G18" s="5"/>
      <c r="H18" s="2"/>
    </row>
    <row r="19" spans="1:8">
      <c r="A19" s="1172" t="str">
        <f>A7</f>
        <v>First Mortgage (Lender:  Construction Loan  )</v>
      </c>
      <c r="B19" s="532">
        <f>'Devel. Bud-shltr'!D87</f>
        <v>15952801.782441225</v>
      </c>
      <c r="C19" s="617">
        <f>B19/$D$2</f>
        <v>159528.01782441224</v>
      </c>
      <c r="D19" s="39">
        <f>B19/B29</f>
        <v>1</v>
      </c>
      <c r="E19" s="11"/>
      <c r="F19" s="11"/>
      <c r="G19" s="4"/>
      <c r="H19" s="2"/>
    </row>
    <row r="20" spans="1:8" hidden="1">
      <c r="A20" s="1172" t="s">
        <v>532</v>
      </c>
      <c r="B20" s="532">
        <v>0</v>
      </c>
      <c r="C20" s="617">
        <f t="shared" ref="C20:C27" si="2">B20/$D$2</f>
        <v>0</v>
      </c>
      <c r="D20" s="39">
        <f>B20/$B$29</f>
        <v>0</v>
      </c>
      <c r="E20" s="11"/>
      <c r="F20" s="11"/>
      <c r="G20" s="4"/>
      <c r="H20" s="2"/>
    </row>
    <row r="21" spans="1:8" hidden="1">
      <c r="A21" s="1172" t="s">
        <v>533</v>
      </c>
      <c r="B21" s="532">
        <v>0</v>
      </c>
      <c r="C21" s="617">
        <f t="shared" si="2"/>
        <v>0</v>
      </c>
      <c r="D21" s="39">
        <f>B21/$B$29</f>
        <v>0</v>
      </c>
      <c r="E21" s="11"/>
      <c r="F21" s="11"/>
      <c r="G21" s="4"/>
      <c r="H21" s="2"/>
    </row>
    <row r="22" spans="1:8" hidden="1">
      <c r="A22" s="1172" t="s">
        <v>534</v>
      </c>
      <c r="B22" s="532">
        <v>0</v>
      </c>
      <c r="C22" s="617">
        <f t="shared" si="2"/>
        <v>0</v>
      </c>
      <c r="D22" s="39">
        <f>B22/$B$29</f>
        <v>0</v>
      </c>
      <c r="E22" s="11"/>
      <c r="F22" s="11"/>
      <c r="G22" s="4"/>
      <c r="H22" s="2"/>
    </row>
    <row r="23" spans="1:8" hidden="1">
      <c r="A23" s="1172" t="s">
        <v>353</v>
      </c>
      <c r="B23" s="532">
        <v>0</v>
      </c>
      <c r="C23" s="617">
        <f t="shared" si="2"/>
        <v>0</v>
      </c>
      <c r="D23" s="39">
        <f>B23/$B$16</f>
        <v>0</v>
      </c>
      <c r="E23" s="11"/>
      <c r="F23" s="11"/>
      <c r="G23" s="4"/>
      <c r="H23" s="2"/>
    </row>
    <row r="24" spans="1:8" hidden="1">
      <c r="A24" s="1172" t="s">
        <v>71</v>
      </c>
      <c r="B24" s="532">
        <v>0</v>
      </c>
      <c r="C24" s="617">
        <f t="shared" si="2"/>
        <v>0</v>
      </c>
      <c r="D24" s="39">
        <f>B24/$B$29</f>
        <v>0</v>
      </c>
      <c r="E24" s="11"/>
      <c r="F24" s="11"/>
      <c r="G24" s="4"/>
      <c r="H24" s="2"/>
    </row>
    <row r="25" spans="1:8" hidden="1">
      <c r="A25" s="1172" t="s">
        <v>535</v>
      </c>
      <c r="B25" s="532">
        <v>0</v>
      </c>
      <c r="C25" s="617">
        <f t="shared" si="2"/>
        <v>0</v>
      </c>
      <c r="D25" s="39">
        <f>B25/$B$16</f>
        <v>0</v>
      </c>
      <c r="E25" s="11"/>
      <c r="F25" s="11"/>
      <c r="G25" s="4"/>
      <c r="H25" s="2"/>
    </row>
    <row r="26" spans="1:8" hidden="1">
      <c r="A26" s="1172" t="s">
        <v>396</v>
      </c>
      <c r="B26" s="532">
        <v>0</v>
      </c>
      <c r="C26" s="617">
        <f t="shared" si="2"/>
        <v>0</v>
      </c>
      <c r="D26" s="39">
        <f>B26/$B$16</f>
        <v>0</v>
      </c>
      <c r="E26" s="11"/>
      <c r="F26" s="11"/>
      <c r="G26" s="4"/>
      <c r="H26" s="2"/>
    </row>
    <row r="27" spans="1:8" hidden="1">
      <c r="A27" s="1172" t="s">
        <v>370</v>
      </c>
      <c r="B27" s="532">
        <v>0</v>
      </c>
      <c r="C27" s="617">
        <f t="shared" si="2"/>
        <v>0</v>
      </c>
      <c r="D27" s="39">
        <f>B27/$B$16</f>
        <v>0</v>
      </c>
      <c r="E27" s="11"/>
      <c r="F27" s="11"/>
      <c r="G27" s="4"/>
      <c r="H27" s="2"/>
    </row>
    <row r="28" spans="1:8">
      <c r="A28" s="277"/>
      <c r="B28" s="618"/>
      <c r="C28" s="617"/>
      <c r="D28" s="39"/>
      <c r="E28" s="2"/>
      <c r="F28" s="9"/>
      <c r="G28" s="4"/>
      <c r="H28" s="52"/>
    </row>
    <row r="29" spans="1:8">
      <c r="A29" s="278" t="s">
        <v>10</v>
      </c>
      <c r="B29" s="619">
        <f>B19+B20+B21+B23+B24+B25+B26+B27</f>
        <v>15952801.782441225</v>
      </c>
      <c r="C29" s="620">
        <f>B29/$D$2</f>
        <v>159528.01782441224</v>
      </c>
      <c r="D29" s="218">
        <f>D19+D20+D21+D23+D24+D25+D26+D27</f>
        <v>1</v>
      </c>
      <c r="E29" s="11"/>
      <c r="F29" s="53"/>
      <c r="G29" s="4"/>
      <c r="H29" s="2"/>
    </row>
    <row r="30" spans="1:8" ht="15.75" thickBot="1">
      <c r="A30" s="2"/>
      <c r="B30" s="624"/>
      <c r="C30" s="625"/>
      <c r="D30" s="50"/>
      <c r="E30" s="11"/>
      <c r="F30" s="53"/>
      <c r="G30" s="4"/>
      <c r="H30" s="2"/>
    </row>
    <row r="31" spans="1:8" ht="16.5" thickTop="1">
      <c r="A31" s="219" t="s">
        <v>188</v>
      </c>
      <c r="B31" s="626"/>
      <c r="C31" s="617"/>
      <c r="D31" s="217"/>
      <c r="E31" s="11"/>
      <c r="F31" s="11"/>
      <c r="G31" s="4"/>
    </row>
    <row r="32" spans="1:8">
      <c r="A32" s="277" t="s">
        <v>11</v>
      </c>
      <c r="B32" s="592">
        <f>'Devel. Bud-shltr'!D6</f>
        <v>2528000</v>
      </c>
      <c r="C32" s="617">
        <f>B32/$D$2</f>
        <v>25280</v>
      </c>
      <c r="D32" s="39">
        <f>B32/$B$37</f>
        <v>0.15846745878833235</v>
      </c>
      <c r="E32" s="11"/>
      <c r="F32" s="54"/>
      <c r="G32" s="4"/>
    </row>
    <row r="33" spans="1:7">
      <c r="A33" s="277" t="s">
        <v>12</v>
      </c>
      <c r="B33" s="592">
        <f>'Devel. Bud-shltr'!D15</f>
        <v>9702000</v>
      </c>
      <c r="C33" s="617">
        <f>B33/$D$2</f>
        <v>97020</v>
      </c>
      <c r="D33" s="39">
        <f>B33/$B$37</f>
        <v>0.60816902103022163</v>
      </c>
      <c r="E33" s="11"/>
      <c r="F33" s="11"/>
      <c r="G33" s="55"/>
    </row>
    <row r="34" spans="1:7">
      <c r="A34" s="1174" t="s">
        <v>13</v>
      </c>
      <c r="B34" s="592">
        <f>'Devel. Bud-shltr'!D67</f>
        <v>3722802.0410593702</v>
      </c>
      <c r="C34" s="617">
        <f>B34/$D$2</f>
        <v>37228.020410593701</v>
      </c>
      <c r="D34" s="39">
        <f>B34/$B$37</f>
        <v>0.2333635201814459</v>
      </c>
      <c r="E34" s="11"/>
      <c r="F34" s="11"/>
      <c r="G34" s="55"/>
    </row>
    <row r="35" spans="1:7">
      <c r="A35" s="1174" t="s">
        <v>14</v>
      </c>
      <c r="B35" s="721">
        <f>'Devel. Bud-shltr'!D69</f>
        <v>0</v>
      </c>
      <c r="C35" s="617">
        <f>B35/$D$2</f>
        <v>0</v>
      </c>
      <c r="D35" s="39">
        <f>B35/$B$37</f>
        <v>0</v>
      </c>
      <c r="E35" s="11" t="s">
        <v>491</v>
      </c>
      <c r="F35" s="11"/>
      <c r="G35" s="55"/>
    </row>
    <row r="36" spans="1:7">
      <c r="A36" s="220"/>
      <c r="B36" s="618"/>
      <c r="C36" s="617"/>
      <c r="D36" s="221"/>
      <c r="E36" s="11"/>
      <c r="F36" s="11"/>
      <c r="G36" s="55"/>
    </row>
    <row r="37" spans="1:7">
      <c r="A37" s="278" t="s">
        <v>15</v>
      </c>
      <c r="B37" s="619">
        <f>B32+B33+B34+B35</f>
        <v>15952802.041059371</v>
      </c>
      <c r="C37" s="620">
        <f>B37/$D$2</f>
        <v>159528.02041059372</v>
      </c>
      <c r="D37" s="218">
        <f>SUM(D32:D35)</f>
        <v>0.99999999999999989</v>
      </c>
      <c r="E37" s="11"/>
      <c r="F37" s="11"/>
      <c r="G37" s="55"/>
    </row>
    <row r="38" spans="1:7">
      <c r="A38" s="2"/>
      <c r="B38" s="1175"/>
      <c r="C38" s="1169"/>
      <c r="D38" s="52"/>
      <c r="E38" s="11"/>
      <c r="F38" s="11"/>
      <c r="G38" s="55"/>
    </row>
    <row r="39" spans="1:7">
      <c r="A39" s="2"/>
      <c r="B39" s="1176"/>
      <c r="C39" s="1169"/>
      <c r="D39" s="52"/>
      <c r="E39" s="11"/>
      <c r="F39" s="11"/>
      <c r="G39" s="11"/>
    </row>
    <row r="40" spans="1:7" ht="18">
      <c r="A40" s="1162" t="s">
        <v>492</v>
      </c>
      <c r="B40" s="1163">
        <f>'Devel. Bud-shltr'!D99</f>
        <v>28.961740943999732</v>
      </c>
      <c r="C40" s="1164"/>
      <c r="D40" s="1165"/>
      <c r="E40" s="11"/>
      <c r="F40" s="11"/>
      <c r="G40" s="11"/>
    </row>
    <row r="41" spans="1:7">
      <c r="A41" s="2"/>
      <c r="B41" s="2"/>
      <c r="C41" s="1168"/>
      <c r="D41" s="50"/>
      <c r="E41" s="2"/>
      <c r="F41" s="2"/>
      <c r="G41" s="2"/>
    </row>
    <row r="42" spans="1:7">
      <c r="A42" s="2"/>
      <c r="B42" s="2"/>
      <c r="C42" s="1168"/>
      <c r="D42" s="50"/>
      <c r="E42" s="2"/>
      <c r="F42" s="2"/>
      <c r="G42" s="2"/>
    </row>
    <row r="43" spans="1:7">
      <c r="A43" s="2"/>
      <c r="B43" s="2"/>
      <c r="C43" s="1168"/>
      <c r="D43" s="50"/>
      <c r="E43" s="2"/>
      <c r="F43" s="2"/>
      <c r="G43" s="2"/>
    </row>
  </sheetData>
  <pageMargins left="0.75" right="0.5" top="0.75" bottom="0.5" header="0.5" footer="0.5"/>
  <pageSetup scale="90" firstPageNumber="206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111"/>
  <sheetViews>
    <sheetView defaultGridColor="0" colorId="22" zoomScale="75" zoomScaleNormal="75" workbookViewId="0">
      <selection activeCell="E16" sqref="E16"/>
    </sheetView>
  </sheetViews>
  <sheetFormatPr defaultColWidth="9.77734375" defaultRowHeight="15"/>
  <cols>
    <col min="1" max="1" width="48.77734375" style="598" customWidth="1"/>
    <col min="2" max="2" width="8.5546875" style="598" customWidth="1"/>
    <col min="3" max="3" width="12" style="598" bestFit="1" customWidth="1"/>
    <col min="4" max="4" width="16" style="1087" customWidth="1"/>
    <col min="5" max="5" width="16.109375" style="598" customWidth="1"/>
    <col min="6" max="6" width="13.5546875" style="598" customWidth="1"/>
    <col min="7" max="7" width="15" style="598" customWidth="1"/>
    <col min="8" max="8" width="12.88671875" style="598" customWidth="1"/>
    <col min="9" max="9" width="13.88671875" style="598" customWidth="1"/>
    <col min="10" max="10" width="13.6640625" style="598" customWidth="1"/>
    <col min="11" max="11" width="12.77734375" style="598" bestFit="1" customWidth="1"/>
    <col min="12" max="12" width="11.21875" style="598" bestFit="1" customWidth="1"/>
    <col min="13" max="15" width="12.44140625" style="598" customWidth="1"/>
    <col min="16" max="16384" width="9.77734375" style="598"/>
  </cols>
  <sheetData>
    <row r="1" spans="1:12" ht="16.5" customHeight="1">
      <c r="A1" s="1" t="s">
        <v>489</v>
      </c>
      <c r="C1" s="23"/>
      <c r="E1" s="1"/>
      <c r="F1" s="24"/>
      <c r="I1" s="1154" t="s">
        <v>525</v>
      </c>
      <c r="K1" s="598" t="s">
        <v>531</v>
      </c>
    </row>
    <row r="2" spans="1:12" ht="16.5" customHeight="1">
      <c r="A2" s="1" t="s">
        <v>489</v>
      </c>
      <c r="C2" s="23"/>
      <c r="E2" s="1" t="s">
        <v>218</v>
      </c>
      <c r="F2" s="24">
        <v>100</v>
      </c>
      <c r="I2" s="781">
        <f>100000+K2</f>
        <v>158000</v>
      </c>
      <c r="K2" s="781">
        <v>58000</v>
      </c>
    </row>
    <row r="3" spans="1:12" ht="15" customHeight="1">
      <c r="A3" s="23"/>
      <c r="B3" s="605"/>
      <c r="C3" s="23"/>
      <c r="J3" s="1154"/>
      <c r="K3" s="1238">
        <f>K2/I2</f>
        <v>0.36708860759493672</v>
      </c>
    </row>
    <row r="4" spans="1:12" ht="15.75" customHeight="1">
      <c r="A4" s="1" t="s">
        <v>127</v>
      </c>
      <c r="B4" s="47"/>
      <c r="C4" s="23"/>
      <c r="D4" s="1239"/>
      <c r="E4" s="1240"/>
      <c r="F4" s="24"/>
    </row>
    <row r="5" spans="1:12">
      <c r="A5" s="2"/>
      <c r="B5" s="2"/>
      <c r="C5" s="2"/>
      <c r="D5" s="1241" t="s">
        <v>285</v>
      </c>
      <c r="E5" s="2"/>
      <c r="F5" s="2"/>
      <c r="G5" s="2"/>
    </row>
    <row r="6" spans="1:12" ht="15.75">
      <c r="A6" s="353" t="s">
        <v>179</v>
      </c>
      <c r="B6" s="132"/>
      <c r="C6" s="133"/>
      <c r="D6" s="1242">
        <f>(G6*I2)*0.4</f>
        <v>2528000</v>
      </c>
      <c r="E6" s="167" t="s">
        <v>495</v>
      </c>
      <c r="F6" s="25"/>
      <c r="G6" s="1243">
        <v>40</v>
      </c>
      <c r="H6" s="598" t="s">
        <v>496</v>
      </c>
      <c r="J6" s="1244"/>
    </row>
    <row r="7" spans="1:12" ht="15.75">
      <c r="A7" s="738"/>
      <c r="B7" s="739"/>
      <c r="C7" s="740"/>
      <c r="D7" s="564"/>
      <c r="E7" s="277"/>
      <c r="F7" s="297"/>
      <c r="G7" s="2"/>
    </row>
    <row r="8" spans="1:12">
      <c r="A8" s="741" t="s">
        <v>180</v>
      </c>
      <c r="B8" s="742"/>
      <c r="C8" s="743"/>
      <c r="D8" s="744"/>
      <c r="E8" s="28"/>
      <c r="F8" s="297"/>
      <c r="G8" s="2" t="s">
        <v>115</v>
      </c>
      <c r="H8" s="936"/>
      <c r="I8" s="598" t="s">
        <v>115</v>
      </c>
    </row>
    <row r="9" spans="1:12">
      <c r="A9" s="684" t="s">
        <v>173</v>
      </c>
      <c r="B9" s="742"/>
      <c r="C9" s="743"/>
      <c r="D9" s="564"/>
      <c r="E9" s="145"/>
      <c r="F9" s="297"/>
      <c r="G9" s="2"/>
      <c r="H9" s="936"/>
    </row>
    <row r="10" spans="1:12">
      <c r="A10" s="745" t="s">
        <v>175</v>
      </c>
      <c r="B10" s="1245">
        <f>D10/F2</f>
        <v>87000</v>
      </c>
      <c r="C10" s="664" t="s">
        <v>48</v>
      </c>
      <c r="D10" s="573">
        <f>('Units &amp; Income_shltr'!B5*240)-4500000</f>
        <v>8700000</v>
      </c>
      <c r="E10" s="536"/>
      <c r="F10" s="297"/>
      <c r="G10" s="1246">
        <v>150</v>
      </c>
      <c r="H10" s="1370" t="s">
        <v>374</v>
      </c>
      <c r="I10" s="1370"/>
      <c r="J10" s="927">
        <f>D10+D12+4500000</f>
        <v>13740000</v>
      </c>
      <c r="K10" s="598" t="s">
        <v>529</v>
      </c>
    </row>
    <row r="11" spans="1:12" hidden="1">
      <c r="A11" s="748" t="s">
        <v>231</v>
      </c>
      <c r="B11" s="749"/>
      <c r="C11" s="664"/>
      <c r="D11" s="562">
        <v>0</v>
      </c>
      <c r="E11" s="536" t="s">
        <v>371</v>
      </c>
      <c r="F11" s="297"/>
      <c r="G11" s="2" t="s">
        <v>115</v>
      </c>
      <c r="H11" s="936"/>
      <c r="I11" s="598" t="s">
        <v>115</v>
      </c>
      <c r="J11" s="598" t="s">
        <v>115</v>
      </c>
    </row>
    <row r="12" spans="1:12">
      <c r="A12" s="745" t="s">
        <v>174</v>
      </c>
      <c r="B12" s="749"/>
      <c r="C12" s="664"/>
      <c r="D12" s="562">
        <f>'Units &amp; Income_shltr'!B7*180</f>
        <v>540000</v>
      </c>
      <c r="E12" s="536"/>
      <c r="F12" s="297"/>
      <c r="G12" s="2"/>
      <c r="H12" s="936"/>
      <c r="J12" s="927">
        <v>4500000</v>
      </c>
      <c r="K12" s="598" t="s">
        <v>530</v>
      </c>
    </row>
    <row r="13" spans="1:12">
      <c r="A13" s="745" t="s">
        <v>112</v>
      </c>
      <c r="B13" s="749"/>
      <c r="C13" s="750"/>
      <c r="D13" s="562">
        <v>0</v>
      </c>
      <c r="E13" s="536" t="s">
        <v>371</v>
      </c>
      <c r="F13" s="297"/>
      <c r="G13" s="2" t="s">
        <v>115</v>
      </c>
      <c r="H13" s="936"/>
      <c r="I13" s="598" t="s">
        <v>115</v>
      </c>
      <c r="J13" s="796">
        <f>J12/J10</f>
        <v>0.32751091703056767</v>
      </c>
    </row>
    <row r="14" spans="1:12" ht="17.25">
      <c r="A14" s="682" t="s">
        <v>73</v>
      </c>
      <c r="B14" s="1247">
        <v>0.05</v>
      </c>
      <c r="C14" s="751"/>
      <c r="D14" s="563">
        <f>SUM(D10:D12)*B14</f>
        <v>462000</v>
      </c>
      <c r="E14" s="1248"/>
      <c r="F14" s="297"/>
      <c r="G14" s="2" t="s">
        <v>115</v>
      </c>
      <c r="I14" s="598" t="s">
        <v>115</v>
      </c>
      <c r="J14" s="598" t="s">
        <v>115</v>
      </c>
    </row>
    <row r="15" spans="1:12" ht="15.75">
      <c r="A15" s="752" t="s">
        <v>178</v>
      </c>
      <c r="B15" s="749">
        <f>D15/F2</f>
        <v>97020</v>
      </c>
      <c r="C15" s="664" t="s">
        <v>48</v>
      </c>
      <c r="D15" s="559">
        <f>SUM(D10:D14)</f>
        <v>9702000</v>
      </c>
      <c r="E15" s="1249"/>
      <c r="F15" s="297"/>
      <c r="H15" s="602"/>
      <c r="L15" s="1250"/>
    </row>
    <row r="16" spans="1:12" ht="15.75">
      <c r="A16" s="684"/>
      <c r="B16" s="682"/>
      <c r="C16" s="542"/>
      <c r="D16" s="559"/>
      <c r="E16" s="1249"/>
      <c r="F16" s="297"/>
      <c r="G16" s="879"/>
      <c r="H16" s="1251"/>
    </row>
    <row r="17" spans="1:16">
      <c r="A17" s="684"/>
      <c r="B17" s="682"/>
      <c r="C17" s="542"/>
      <c r="D17" s="564"/>
      <c r="E17" s="277"/>
      <c r="F17" s="297"/>
      <c r="G17" s="879"/>
    </row>
    <row r="18" spans="1:16">
      <c r="A18" s="741" t="s">
        <v>181</v>
      </c>
      <c r="B18" s="742"/>
      <c r="C18" s="753"/>
      <c r="D18" s="564"/>
      <c r="E18" s="277"/>
      <c r="F18" s="297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754"/>
      <c r="B19" s="742"/>
      <c r="C19" s="753"/>
      <c r="D19" s="565"/>
      <c r="E19" s="277"/>
      <c r="F19" s="297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684" t="s">
        <v>49</v>
      </c>
      <c r="B20" s="277"/>
      <c r="C20" s="297"/>
      <c r="D20" s="562">
        <v>30000</v>
      </c>
      <c r="E20" s="1252"/>
      <c r="F20" s="297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684" t="s">
        <v>51</v>
      </c>
      <c r="B21" s="277"/>
      <c r="C21" s="297"/>
      <c r="D21" s="562">
        <f>(D10+D12)*0.05</f>
        <v>462000</v>
      </c>
      <c r="E21" s="1252"/>
      <c r="F21" s="542"/>
      <c r="G21" s="927">
        <f>D21</f>
        <v>462000</v>
      </c>
      <c r="H21" s="664" t="s">
        <v>497</v>
      </c>
      <c r="I21" s="664"/>
      <c r="J21" s="2"/>
      <c r="K21" s="2"/>
      <c r="L21" s="2"/>
      <c r="M21" s="2"/>
      <c r="N21" s="2"/>
      <c r="O21" s="2"/>
      <c r="P21" s="2"/>
    </row>
    <row r="22" spans="1:16">
      <c r="A22" s="684" t="s">
        <v>228</v>
      </c>
      <c r="B22" s="277"/>
      <c r="C22" s="297"/>
      <c r="D22" s="562">
        <v>0</v>
      </c>
      <c r="E22" s="1252"/>
      <c r="F22" s="542"/>
      <c r="G22" s="1079">
        <v>0</v>
      </c>
      <c r="H22" s="664" t="s">
        <v>498</v>
      </c>
      <c r="I22" s="664"/>
      <c r="J22" s="2"/>
      <c r="K22" s="2"/>
      <c r="L22" s="2"/>
      <c r="M22" s="2"/>
      <c r="N22" s="2"/>
      <c r="O22" s="2"/>
      <c r="P22" s="2"/>
    </row>
    <row r="23" spans="1:16">
      <c r="A23" s="684" t="s">
        <v>176</v>
      </c>
      <c r="B23" s="277"/>
      <c r="C23" s="297"/>
      <c r="D23" s="562">
        <v>0</v>
      </c>
      <c r="E23" s="928"/>
      <c r="F23" s="542"/>
      <c r="G23" s="664"/>
      <c r="H23" s="664"/>
      <c r="I23" s="664"/>
      <c r="J23" s="2"/>
      <c r="K23" s="2"/>
      <c r="L23" s="2"/>
      <c r="M23" s="2"/>
      <c r="N23" s="2"/>
      <c r="O23" s="2"/>
      <c r="P23" s="2"/>
    </row>
    <row r="24" spans="1:16">
      <c r="A24" s="684" t="s">
        <v>76</v>
      </c>
      <c r="B24" s="277"/>
      <c r="C24" s="297"/>
      <c r="D24" s="562">
        <f>35000*0.4</f>
        <v>14000</v>
      </c>
      <c r="E24" s="1114" t="s">
        <v>495</v>
      </c>
      <c r="F24" s="542"/>
      <c r="G24" s="664"/>
      <c r="H24" s="664"/>
      <c r="I24" s="664"/>
      <c r="J24" s="2"/>
      <c r="K24" s="2"/>
      <c r="L24" s="2"/>
      <c r="M24" s="2"/>
      <c r="N24" s="2"/>
      <c r="O24" s="2"/>
      <c r="P24" s="2"/>
    </row>
    <row r="25" spans="1:16">
      <c r="A25" s="684" t="s">
        <v>55</v>
      </c>
      <c r="B25" s="277"/>
      <c r="C25" s="297"/>
      <c r="D25" s="562">
        <v>30000</v>
      </c>
      <c r="E25" s="928"/>
      <c r="F25" s="542"/>
      <c r="G25" s="664"/>
      <c r="H25" s="664"/>
      <c r="I25" s="664"/>
      <c r="J25" s="2"/>
      <c r="K25" s="2"/>
      <c r="L25" s="2"/>
      <c r="M25" s="5"/>
      <c r="N25" s="5"/>
      <c r="O25" s="5"/>
      <c r="P25" s="4"/>
    </row>
    <row r="26" spans="1:16">
      <c r="A26" s="684" t="s">
        <v>429</v>
      </c>
      <c r="B26" s="277"/>
      <c r="C26" s="297"/>
      <c r="D26" s="562">
        <f>95000*0.4</f>
        <v>38000</v>
      </c>
      <c r="E26" s="1114" t="s">
        <v>495</v>
      </c>
      <c r="F26" s="542"/>
      <c r="G26" s="664"/>
      <c r="H26" s="664"/>
      <c r="I26" s="664"/>
      <c r="J26" s="2"/>
      <c r="K26" s="2"/>
      <c r="L26" s="2"/>
      <c r="M26" s="2"/>
      <c r="N26" s="9"/>
      <c r="O26" s="5"/>
      <c r="P26" s="4"/>
    </row>
    <row r="27" spans="1:16">
      <c r="A27" s="684" t="s">
        <v>361</v>
      </c>
      <c r="B27" s="277"/>
      <c r="C27" s="297"/>
      <c r="D27" s="562">
        <f>10000*0.4</f>
        <v>4000</v>
      </c>
      <c r="E27" s="1114" t="s">
        <v>495</v>
      </c>
      <c r="F27" s="297"/>
      <c r="G27" s="2"/>
      <c r="H27" s="2"/>
      <c r="I27" s="2"/>
      <c r="J27" s="2"/>
      <c r="K27" s="2"/>
      <c r="L27" s="2"/>
      <c r="M27" s="2"/>
      <c r="N27" s="4"/>
      <c r="O27" s="4"/>
      <c r="P27" s="2"/>
    </row>
    <row r="28" spans="1:16">
      <c r="A28" s="684" t="s">
        <v>499</v>
      </c>
      <c r="B28" s="277"/>
      <c r="C28" s="297"/>
      <c r="D28" s="562">
        <v>0</v>
      </c>
      <c r="E28" s="1253"/>
      <c r="F28" s="297"/>
      <c r="G28" s="513"/>
      <c r="H28" s="2"/>
      <c r="I28" s="2"/>
      <c r="J28" s="2"/>
      <c r="K28" s="2"/>
      <c r="L28" s="2"/>
      <c r="M28" s="2"/>
      <c r="N28" s="4"/>
      <c r="O28" s="4"/>
      <c r="P28" s="2"/>
    </row>
    <row r="29" spans="1:16">
      <c r="A29" s="684" t="s">
        <v>360</v>
      </c>
      <c r="B29" s="277"/>
      <c r="C29" s="297"/>
      <c r="D29" s="562">
        <f>20000*0.4</f>
        <v>8000</v>
      </c>
      <c r="E29" s="1114" t="s">
        <v>495</v>
      </c>
      <c r="F29" s="297"/>
      <c r="G29" s="2"/>
      <c r="H29" s="2"/>
      <c r="I29" s="2"/>
      <c r="J29" s="2"/>
      <c r="K29" s="2"/>
      <c r="L29" s="2"/>
      <c r="M29" s="5"/>
      <c r="N29" s="5"/>
      <c r="O29" s="5"/>
      <c r="P29" s="4"/>
    </row>
    <row r="30" spans="1:16">
      <c r="A30" s="684" t="s">
        <v>56</v>
      </c>
      <c r="B30" s="682"/>
      <c r="C30" s="542"/>
      <c r="D30" s="528">
        <f>5000*0.4</f>
        <v>2000</v>
      </c>
      <c r="E30" s="1114" t="s">
        <v>495</v>
      </c>
      <c r="F30" s="297"/>
      <c r="G30" s="2"/>
      <c r="H30" s="2"/>
      <c r="I30" s="2"/>
      <c r="J30" s="2"/>
      <c r="K30" s="2"/>
      <c r="L30" s="2"/>
      <c r="M30" s="2"/>
      <c r="N30" s="2"/>
      <c r="O30" s="2"/>
      <c r="P30" s="4"/>
    </row>
    <row r="31" spans="1:16">
      <c r="A31" s="684" t="s">
        <v>74</v>
      </c>
      <c r="B31" s="757">
        <v>8.0000000000000002E-3</v>
      </c>
      <c r="C31" s="542" t="s">
        <v>544</v>
      </c>
      <c r="D31" s="528">
        <f>B31*D87</f>
        <v>127622.4142595298</v>
      </c>
      <c r="E31" s="1253"/>
      <c r="F31" s="297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684" t="s">
        <v>177</v>
      </c>
      <c r="B32" s="757"/>
      <c r="C32" s="542"/>
      <c r="D32" s="528">
        <f>7500*0.4</f>
        <v>3000</v>
      </c>
      <c r="E32" s="1114" t="s">
        <v>495</v>
      </c>
      <c r="F32" s="297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8" thickBot="1">
      <c r="A33" s="1254" t="s">
        <v>319</v>
      </c>
      <c r="B33" s="75"/>
      <c r="C33" s="297"/>
      <c r="D33" s="566"/>
      <c r="E33" s="1253"/>
      <c r="F33" s="297"/>
      <c r="G33" s="2"/>
      <c r="H33" s="2"/>
      <c r="I33" s="2"/>
      <c r="J33" s="2"/>
      <c r="K33" s="2"/>
      <c r="L33" s="2"/>
      <c r="M33" s="1255"/>
      <c r="N33" s="1064"/>
      <c r="O33" s="9"/>
      <c r="P33" s="1256"/>
    </row>
    <row r="34" spans="1:16" ht="15.75">
      <c r="A34" s="354" t="s">
        <v>52</v>
      </c>
      <c r="B34" s="134"/>
      <c r="C34" s="135"/>
      <c r="D34" s="559">
        <f>SUM(D20:D33)</f>
        <v>718622.41425952979</v>
      </c>
      <c r="E34" s="277"/>
      <c r="F34" s="297"/>
      <c r="G34" s="2"/>
      <c r="H34" s="2"/>
      <c r="I34" s="2"/>
      <c r="J34" s="2"/>
      <c r="K34" s="2"/>
      <c r="L34" s="2"/>
      <c r="M34" s="5"/>
      <c r="N34" s="2"/>
      <c r="O34" s="2"/>
      <c r="P34" s="4"/>
    </row>
    <row r="35" spans="1:16">
      <c r="A35" s="691"/>
      <c r="B35" s="40"/>
      <c r="D35" s="564"/>
      <c r="E35" s="277"/>
      <c r="F35" s="297"/>
      <c r="G35" s="2"/>
      <c r="H35" s="2"/>
      <c r="I35" s="2"/>
      <c r="J35" s="2"/>
      <c r="K35" s="2"/>
      <c r="L35" s="2"/>
      <c r="M35" s="2"/>
      <c r="N35" s="2"/>
      <c r="O35" s="2"/>
      <c r="P35" s="4"/>
    </row>
    <row r="36" spans="1:16">
      <c r="A36" s="352" t="s">
        <v>315</v>
      </c>
      <c r="B36" s="40"/>
      <c r="D36" s="565"/>
      <c r="E36" s="277"/>
      <c r="F36" s="297"/>
      <c r="G36" s="2"/>
      <c r="H36" s="2"/>
      <c r="I36" s="2"/>
      <c r="J36" s="2"/>
      <c r="K36" s="2"/>
      <c r="L36" s="2"/>
      <c r="M36" s="2"/>
      <c r="N36" s="2"/>
      <c r="O36" s="2"/>
      <c r="P36" s="4"/>
    </row>
    <row r="37" spans="1:16" s="702" customFormat="1">
      <c r="A37" s="685" t="s">
        <v>500</v>
      </c>
      <c r="B37" s="646">
        <v>0.01</v>
      </c>
      <c r="C37" s="638" t="s">
        <v>501</v>
      </c>
      <c r="D37" s="567">
        <f>B37*D75</f>
        <v>158228.01782441227</v>
      </c>
      <c r="E37" s="639"/>
      <c r="F37" s="638"/>
      <c r="G37" s="1257">
        <f>D37+D38</f>
        <v>397520.04456103063</v>
      </c>
      <c r="H37" s="1175" t="s">
        <v>400</v>
      </c>
      <c r="I37" s="623"/>
      <c r="J37" s="1175"/>
      <c r="K37" s="1175"/>
      <c r="L37" s="1175"/>
      <c r="M37" s="1175"/>
      <c r="N37" s="1175"/>
      <c r="O37" s="1258"/>
      <c r="P37" s="1259"/>
    </row>
    <row r="38" spans="1:16" s="702" customFormat="1">
      <c r="A38" s="685" t="s">
        <v>502</v>
      </c>
      <c r="B38" s="646">
        <v>1.4999999999999999E-2</v>
      </c>
      <c r="C38" s="638" t="s">
        <v>501</v>
      </c>
      <c r="D38" s="567">
        <f>B38*D87</f>
        <v>239292.02673661837</v>
      </c>
      <c r="E38" s="642"/>
      <c r="F38" s="643"/>
      <c r="G38" s="1175"/>
      <c r="H38" s="1175"/>
      <c r="I38" s="1175"/>
      <c r="J38" s="1175"/>
      <c r="K38" s="1175"/>
      <c r="L38" s="1175"/>
      <c r="M38" s="1260"/>
      <c r="N38" s="1261"/>
      <c r="O38" s="1262"/>
      <c r="P38" s="1263"/>
    </row>
    <row r="39" spans="1:16">
      <c r="A39" s="684" t="s">
        <v>316</v>
      </c>
      <c r="B39" s="637">
        <v>0</v>
      </c>
      <c r="C39" s="38" t="s">
        <v>330</v>
      </c>
      <c r="D39" s="567">
        <f>B39*D75</f>
        <v>0</v>
      </c>
      <c r="E39" s="41"/>
      <c r="F39" s="39"/>
      <c r="G39" s="2"/>
      <c r="H39" s="2"/>
      <c r="I39" s="2"/>
      <c r="J39" s="2"/>
      <c r="K39" s="2"/>
      <c r="L39" s="2"/>
      <c r="M39" s="5"/>
      <c r="N39" s="5"/>
      <c r="O39" s="5"/>
      <c r="P39" s="4"/>
    </row>
    <row r="40" spans="1:16">
      <c r="A40" s="691" t="s">
        <v>393</v>
      </c>
      <c r="B40" s="637">
        <v>0</v>
      </c>
      <c r="C40" s="38" t="s">
        <v>330</v>
      </c>
      <c r="D40" s="528">
        <f>B40*D75</f>
        <v>0</v>
      </c>
      <c r="E40" s="37"/>
      <c r="F40" s="297"/>
      <c r="G40" s="2"/>
      <c r="H40" s="2"/>
      <c r="I40" s="2"/>
      <c r="J40" s="2"/>
      <c r="K40" s="2"/>
      <c r="L40" s="2"/>
      <c r="M40" s="2"/>
      <c r="N40" s="9"/>
      <c r="O40" s="5"/>
      <c r="P40" s="4"/>
    </row>
    <row r="41" spans="1:16">
      <c r="A41" s="684" t="s">
        <v>503</v>
      </c>
      <c r="B41" s="529"/>
      <c r="C41" s="297"/>
      <c r="D41" s="531"/>
      <c r="E41" s="277"/>
      <c r="F41" s="297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s="702" customFormat="1">
      <c r="A42" s="685" t="s">
        <v>348</v>
      </c>
      <c r="B42" s="529"/>
      <c r="C42" s="290"/>
      <c r="D42" s="568">
        <v>0</v>
      </c>
      <c r="E42" s="537" t="s">
        <v>372</v>
      </c>
      <c r="F42" s="290"/>
      <c r="G42" s="1175"/>
      <c r="H42" s="1175"/>
      <c r="I42" s="1175"/>
      <c r="J42" s="1175"/>
      <c r="K42" s="1175"/>
      <c r="L42" s="1175"/>
      <c r="M42" s="1175"/>
      <c r="N42" s="1175"/>
      <c r="O42" s="1175"/>
      <c r="P42" s="1175"/>
    </row>
    <row r="43" spans="1:16" s="702" customFormat="1" ht="14.25" customHeight="1">
      <c r="A43" s="685" t="s">
        <v>385</v>
      </c>
      <c r="B43" s="609">
        <v>5.0000000000000001E-4</v>
      </c>
      <c r="C43" s="610" t="s">
        <v>362</v>
      </c>
      <c r="D43" s="568">
        <v>0</v>
      </c>
      <c r="E43" s="537"/>
      <c r="F43" s="290"/>
      <c r="G43" s="1175"/>
      <c r="H43" s="1175"/>
      <c r="I43" s="1175"/>
      <c r="J43" s="1175"/>
      <c r="K43" s="1175"/>
      <c r="L43" s="1175"/>
      <c r="M43" s="1175"/>
      <c r="N43" s="1175"/>
      <c r="O43" s="1175"/>
      <c r="P43" s="1175"/>
    </row>
    <row r="44" spans="1:16" s="601" customFormat="1" ht="15.75" thickBot="1">
      <c r="A44" s="685" t="s">
        <v>386</v>
      </c>
      <c r="B44" s="646">
        <v>0.08</v>
      </c>
      <c r="C44" s="1008" t="s">
        <v>401</v>
      </c>
      <c r="D44" s="1009">
        <v>0</v>
      </c>
      <c r="E44" s="1010"/>
      <c r="F44" s="542"/>
      <c r="G44" s="664"/>
      <c r="H44" s="664"/>
      <c r="I44" s="664"/>
      <c r="J44" s="664"/>
      <c r="K44" s="664"/>
      <c r="L44" s="1057"/>
      <c r="M44" s="1264"/>
      <c r="N44" s="1265"/>
      <c r="O44" s="1266"/>
      <c r="P44" s="1267"/>
    </row>
    <row r="45" spans="1:16" ht="15.75">
      <c r="A45" s="752" t="s">
        <v>52</v>
      </c>
      <c r="B45" s="1268"/>
      <c r="C45" s="1269"/>
      <c r="D45" s="559">
        <f>SUM(D37:D44)</f>
        <v>397520.04456103063</v>
      </c>
      <c r="E45" s="682"/>
      <c r="F45" s="542"/>
      <c r="G45" s="1270"/>
      <c r="H45" s="664"/>
      <c r="I45" s="664"/>
      <c r="J45" s="664"/>
      <c r="K45" s="664"/>
      <c r="L45" s="2"/>
      <c r="M45" s="2"/>
      <c r="N45" s="2"/>
      <c r="O45" s="2"/>
      <c r="P45" s="2"/>
    </row>
    <row r="46" spans="1:16">
      <c r="A46" s="654"/>
      <c r="B46" s="1271"/>
      <c r="C46" s="542"/>
      <c r="D46" s="569"/>
      <c r="E46" s="682"/>
      <c r="F46" s="542"/>
      <c r="G46" s="664"/>
      <c r="H46" s="664"/>
      <c r="I46" s="664"/>
      <c r="K46" s="664"/>
      <c r="L46" s="2"/>
      <c r="M46" s="2"/>
      <c r="N46" s="2"/>
      <c r="O46" s="2"/>
      <c r="P46" s="2"/>
    </row>
    <row r="47" spans="1:16">
      <c r="A47" s="1272" t="s">
        <v>313</v>
      </c>
      <c r="B47" s="682"/>
      <c r="C47" s="542"/>
      <c r="D47" s="570"/>
      <c r="E47" s="682"/>
      <c r="F47" s="542"/>
      <c r="G47" s="664"/>
      <c r="H47" s="664"/>
      <c r="I47" s="664"/>
      <c r="K47" s="664"/>
      <c r="L47" s="2"/>
      <c r="M47" s="2"/>
      <c r="N47" s="2"/>
      <c r="O47" s="2"/>
      <c r="P47" s="2"/>
    </row>
    <row r="48" spans="1:16">
      <c r="A48" s="684" t="s">
        <v>57</v>
      </c>
      <c r="B48" s="682"/>
      <c r="C48" s="751"/>
      <c r="D48" s="1344">
        <f>'Constr Interest-shltr'!F42</f>
        <v>1262659.5822388099</v>
      </c>
      <c r="E48" s="1273" t="s">
        <v>314</v>
      </c>
      <c r="F48" s="542"/>
      <c r="G48" s="664"/>
      <c r="H48" s="664"/>
      <c r="I48" s="664"/>
      <c r="K48" s="664"/>
      <c r="L48" s="2"/>
      <c r="M48" s="1255"/>
      <c r="N48" s="2"/>
      <c r="O48" s="2"/>
      <c r="P48" s="2"/>
    </row>
    <row r="49" spans="1:16">
      <c r="A49" s="684" t="s">
        <v>53</v>
      </c>
      <c r="B49" s="682"/>
      <c r="C49" s="542"/>
      <c r="D49" s="567">
        <v>0</v>
      </c>
      <c r="E49" s="1273"/>
      <c r="F49" s="751"/>
      <c r="G49" s="664"/>
      <c r="H49" s="664"/>
      <c r="I49" s="664"/>
      <c r="J49" s="664"/>
      <c r="K49" s="664"/>
      <c r="L49" s="2"/>
      <c r="M49" s="1274"/>
      <c r="N49" s="1274"/>
      <c r="O49" s="2"/>
      <c r="P49" s="2"/>
    </row>
    <row r="50" spans="1:16">
      <c r="A50" s="684" t="s">
        <v>347</v>
      </c>
      <c r="B50" s="757"/>
      <c r="C50" s="542"/>
      <c r="D50" s="571"/>
      <c r="E50" s="1273" t="s">
        <v>368</v>
      </c>
      <c r="F50" s="542"/>
      <c r="G50" s="664"/>
      <c r="H50" s="1275"/>
      <c r="I50" s="664"/>
      <c r="M50" s="1276"/>
      <c r="N50" s="1276"/>
      <c r="O50" s="2"/>
      <c r="P50" s="2"/>
    </row>
    <row r="51" spans="1:16">
      <c r="A51" s="684" t="s">
        <v>184</v>
      </c>
      <c r="B51" s="682"/>
      <c r="C51" s="542"/>
      <c r="D51" s="647">
        <v>0</v>
      </c>
      <c r="E51" s="682"/>
      <c r="F51" s="542"/>
      <c r="G51" s="664"/>
      <c r="H51" s="664"/>
      <c r="I51" s="664"/>
      <c r="M51" s="1274"/>
      <c r="N51" s="1274"/>
      <c r="O51" s="2"/>
      <c r="P51" s="2"/>
    </row>
    <row r="52" spans="1:16">
      <c r="A52" s="684" t="s">
        <v>59</v>
      </c>
      <c r="B52" s="682"/>
      <c r="C52" s="542"/>
      <c r="D52" s="647">
        <v>0</v>
      </c>
      <c r="E52" s="682"/>
      <c r="F52" s="542"/>
      <c r="G52" s="1001"/>
      <c r="H52" s="1001"/>
      <c r="I52" s="1001"/>
      <c r="J52" s="1001"/>
      <c r="K52" s="702"/>
      <c r="M52" s="1276"/>
      <c r="N52" s="1277"/>
      <c r="O52" s="2"/>
      <c r="P52" s="2"/>
    </row>
    <row r="53" spans="1:16">
      <c r="A53" s="1278" t="s">
        <v>58</v>
      </c>
      <c r="B53" s="1279"/>
      <c r="C53" s="1280"/>
      <c r="D53" s="1281">
        <f>90000*0.4</f>
        <v>36000</v>
      </c>
      <c r="E53" s="1114" t="s">
        <v>495</v>
      </c>
      <c r="F53" s="1280"/>
      <c r="G53" s="1003"/>
      <c r="H53" s="1001"/>
      <c r="I53" s="1001"/>
      <c r="J53" s="940"/>
      <c r="K53" s="702"/>
      <c r="M53" s="1276"/>
      <c r="N53" s="1277"/>
      <c r="O53" s="2"/>
      <c r="P53" s="2"/>
    </row>
    <row r="54" spans="1:16">
      <c r="A54" s="685" t="s">
        <v>60</v>
      </c>
      <c r="B54" s="1282"/>
      <c r="C54" s="1283"/>
      <c r="D54" s="531">
        <v>0</v>
      </c>
      <c r="E54" s="682"/>
      <c r="F54" s="1284"/>
      <c r="G54" s="1003"/>
      <c r="H54" s="1001"/>
      <c r="I54" s="1001"/>
      <c r="J54" s="702"/>
      <c r="K54" s="702"/>
      <c r="O54" s="2"/>
      <c r="P54" s="2"/>
    </row>
    <row r="55" spans="1:16" ht="15.75">
      <c r="A55" s="684" t="s">
        <v>82</v>
      </c>
      <c r="B55" s="127"/>
      <c r="C55" s="501"/>
      <c r="D55" s="572">
        <v>0</v>
      </c>
      <c r="E55" s="138"/>
      <c r="F55" s="137"/>
      <c r="G55" s="1005"/>
      <c r="H55" s="1285"/>
      <c r="I55" s="1285"/>
      <c r="J55" s="702"/>
      <c r="K55" s="702"/>
      <c r="M55" s="1251"/>
    </row>
    <row r="56" spans="1:16" ht="18" thickBot="1">
      <c r="A56" s="685" t="s">
        <v>395</v>
      </c>
      <c r="B56" s="742"/>
      <c r="C56" s="542"/>
      <c r="D56" s="566">
        <v>0</v>
      </c>
      <c r="E56" s="928"/>
      <c r="F56" s="542"/>
      <c r="G56" s="1003"/>
      <c r="H56" s="1004"/>
      <c r="I56" s="1001"/>
      <c r="J56" s="1003"/>
      <c r="K56" s="1003"/>
      <c r="L56" s="2"/>
      <c r="O56" s="9"/>
      <c r="P56" s="1256"/>
    </row>
    <row r="57" spans="1:16" ht="15.75">
      <c r="A57" s="752" t="s">
        <v>52</v>
      </c>
      <c r="B57" s="127"/>
      <c r="C57" s="127"/>
      <c r="D57" s="559">
        <f>SUM(D48:D56)</f>
        <v>1298659.5822388099</v>
      </c>
      <c r="E57" s="138"/>
      <c r="F57" s="137"/>
      <c r="G57" s="1286"/>
      <c r="H57" s="1285"/>
      <c r="I57" s="702"/>
      <c r="J57" s="702"/>
      <c r="K57" s="702"/>
    </row>
    <row r="58" spans="1:16">
      <c r="A58" s="684"/>
      <c r="B58" s="682"/>
      <c r="C58" s="542"/>
      <c r="D58" s="573"/>
      <c r="E58" s="682"/>
      <c r="F58" s="542"/>
      <c r="G58" s="1001"/>
      <c r="H58" s="1001"/>
      <c r="I58" s="1001"/>
      <c r="J58" s="623"/>
      <c r="K58" s="623"/>
      <c r="L58" s="2"/>
      <c r="M58" s="2"/>
      <c r="N58" s="2"/>
      <c r="O58" s="2"/>
      <c r="P58" s="2"/>
    </row>
    <row r="59" spans="1:16">
      <c r="A59" s="1272" t="s">
        <v>204</v>
      </c>
      <c r="B59" s="682"/>
      <c r="C59" s="542"/>
      <c r="D59" s="573"/>
      <c r="E59" s="682"/>
      <c r="F59" s="542"/>
      <c r="G59" s="994"/>
      <c r="H59" s="1001"/>
      <c r="I59" s="1001"/>
      <c r="J59" s="623"/>
      <c r="K59" s="735"/>
      <c r="L59" s="1287"/>
      <c r="M59" s="2"/>
      <c r="N59" s="2"/>
      <c r="O59" s="2"/>
      <c r="P59" s="2"/>
    </row>
    <row r="60" spans="1:16">
      <c r="A60" s="1288" t="s">
        <v>387</v>
      </c>
      <c r="B60" s="762"/>
      <c r="C60" s="758"/>
      <c r="D60" s="1289">
        <f>F2*1300</f>
        <v>130000</v>
      </c>
      <c r="E60" s="1290" t="s">
        <v>504</v>
      </c>
      <c r="F60" s="542"/>
      <c r="G60" s="1291"/>
      <c r="H60" s="1004"/>
      <c r="I60" s="994"/>
      <c r="J60" s="994"/>
      <c r="K60" s="623"/>
      <c r="L60" s="2"/>
      <c r="M60" s="2"/>
      <c r="N60" s="2"/>
      <c r="O60" s="2"/>
      <c r="P60" s="2"/>
    </row>
    <row r="61" spans="1:16">
      <c r="A61" s="684" t="s">
        <v>227</v>
      </c>
      <c r="B61" s="682"/>
      <c r="C61" s="542"/>
      <c r="D61" s="562"/>
      <c r="E61" s="682" t="s">
        <v>369</v>
      </c>
      <c r="F61" s="542"/>
      <c r="G61" s="623"/>
      <c r="H61" s="623"/>
      <c r="I61" s="623"/>
      <c r="J61" s="623"/>
      <c r="K61" s="623"/>
      <c r="L61" s="2"/>
      <c r="M61" s="2"/>
      <c r="N61" s="2"/>
      <c r="O61" s="2"/>
      <c r="P61" s="2"/>
    </row>
    <row r="62" spans="1:16">
      <c r="A62" s="684" t="s">
        <v>183</v>
      </c>
      <c r="B62" s="647"/>
      <c r="C62" s="764" t="s">
        <v>104</v>
      </c>
      <c r="D62" s="1289">
        <v>1113000</v>
      </c>
      <c r="E62" s="682"/>
      <c r="F62" s="542"/>
      <c r="G62" s="1292"/>
      <c r="H62" s="1293"/>
      <c r="I62" s="702"/>
      <c r="J62" s="1004"/>
      <c r="K62" s="702"/>
      <c r="L62" s="1294"/>
      <c r="M62" s="513"/>
      <c r="N62" s="2"/>
      <c r="O62" s="2"/>
      <c r="P62" s="2"/>
    </row>
    <row r="63" spans="1:16">
      <c r="A63" s="684" t="s">
        <v>229</v>
      </c>
      <c r="B63" s="682"/>
      <c r="C63" s="764"/>
      <c r="D63" s="562"/>
      <c r="E63" s="1273"/>
      <c r="F63" s="542"/>
      <c r="G63" s="623"/>
      <c r="H63" s="623"/>
      <c r="I63" s="623"/>
      <c r="J63" s="702"/>
      <c r="K63" s="623"/>
      <c r="L63" s="2"/>
      <c r="M63" s="1063"/>
      <c r="N63" s="2"/>
      <c r="O63" s="2"/>
      <c r="P63" s="2"/>
    </row>
    <row r="64" spans="1:16" s="601" customFormat="1" ht="15.75" thickBot="1">
      <c r="A64" s="684" t="s">
        <v>81</v>
      </c>
      <c r="B64" s="1011"/>
      <c r="C64" s="542"/>
      <c r="D64" s="1009">
        <v>65000</v>
      </c>
      <c r="E64" s="1012">
        <f>D64/D67</f>
        <v>1.7459966789290637E-2</v>
      </c>
      <c r="F64" s="542" t="s">
        <v>111</v>
      </c>
      <c r="G64" s="1001"/>
      <c r="H64" s="702"/>
      <c r="I64" s="623"/>
      <c r="J64" s="623"/>
      <c r="K64" s="623"/>
      <c r="L64" s="1057"/>
      <c r="M64" s="1057"/>
      <c r="N64" s="1057"/>
      <c r="O64" s="1057"/>
      <c r="P64" s="1057"/>
    </row>
    <row r="65" spans="1:16" ht="15.75">
      <c r="A65" s="1295" t="s">
        <v>52</v>
      </c>
      <c r="B65" s="682"/>
      <c r="C65" s="542"/>
      <c r="D65" s="559">
        <f>SUM(D59:D64)</f>
        <v>1308000</v>
      </c>
      <c r="E65" s="1296"/>
      <c r="F65" s="542"/>
      <c r="G65" s="1003"/>
      <c r="H65" s="1001"/>
      <c r="I65" s="623"/>
      <c r="J65" s="623"/>
      <c r="K65" s="623"/>
      <c r="L65" s="2"/>
      <c r="M65" s="721"/>
      <c r="N65" s="2"/>
      <c r="O65" s="2"/>
      <c r="P65" s="2"/>
    </row>
    <row r="66" spans="1:16">
      <c r="A66" s="684"/>
      <c r="B66" s="682"/>
      <c r="C66" s="542"/>
      <c r="D66" s="564"/>
      <c r="E66" s="1296"/>
      <c r="F66" s="1297"/>
      <c r="G66" s="1003"/>
      <c r="H66" s="1001"/>
      <c r="I66" s="623"/>
      <c r="J66" s="623"/>
      <c r="K66" s="623"/>
      <c r="L66" s="2"/>
      <c r="M66" s="2"/>
      <c r="N66" s="2"/>
      <c r="O66" s="2"/>
      <c r="P66" s="2"/>
    </row>
    <row r="67" spans="1:16" ht="15.75">
      <c r="A67" s="1298" t="s">
        <v>110</v>
      </c>
      <c r="B67" s="682"/>
      <c r="C67" s="542"/>
      <c r="D67" s="559">
        <f>D34+D45+D57+D65</f>
        <v>3722802.0410593702</v>
      </c>
      <c r="E67" s="1296"/>
      <c r="F67" s="542"/>
      <c r="G67" s="1286"/>
      <c r="H67" s="1285"/>
      <c r="I67" s="996"/>
      <c r="J67" s="623"/>
      <c r="K67" s="623"/>
      <c r="L67" s="2"/>
      <c r="M67" s="713"/>
      <c r="N67" s="2"/>
      <c r="O67" s="2"/>
      <c r="P67" s="2"/>
    </row>
    <row r="68" spans="1:16">
      <c r="A68" s="684"/>
      <c r="B68" s="682"/>
      <c r="C68" s="542"/>
      <c r="D68" s="564"/>
      <c r="E68" s="1299"/>
      <c r="F68" s="722"/>
      <c r="G68" s="1003"/>
      <c r="H68" s="1004"/>
      <c r="I68" s="1001"/>
      <c r="J68" s="623"/>
      <c r="K68" s="623"/>
      <c r="L68" s="2"/>
      <c r="M68" s="2"/>
      <c r="N68" s="2"/>
      <c r="O68" s="2"/>
      <c r="P68" s="2"/>
    </row>
    <row r="69" spans="1:16" ht="15.75">
      <c r="A69" s="1272" t="s">
        <v>61</v>
      </c>
      <c r="B69" s="1300"/>
      <c r="C69" s="1301"/>
      <c r="D69" s="573">
        <v>0</v>
      </c>
      <c r="E69" s="1302">
        <f>D69/(D72-D69)</f>
        <v>0</v>
      </c>
      <c r="F69" s="723" t="s">
        <v>329</v>
      </c>
      <c r="G69" s="1005" t="s">
        <v>491</v>
      </c>
      <c r="H69" s="702"/>
      <c r="I69" s="994"/>
      <c r="J69" s="994"/>
      <c r="K69" s="702"/>
      <c r="M69" s="493"/>
      <c r="P69" s="1303"/>
    </row>
    <row r="70" spans="1:16">
      <c r="A70" s="684"/>
      <c r="B70" s="682"/>
      <c r="C70" s="542"/>
      <c r="D70" s="564"/>
      <c r="E70" s="757">
        <f>D69/(D15+(D67-D65))</f>
        <v>0</v>
      </c>
      <c r="F70" s="724" t="s">
        <v>359</v>
      </c>
      <c r="G70" s="702"/>
      <c r="I70" s="702"/>
    </row>
    <row r="71" spans="1:16">
      <c r="A71" s="684"/>
      <c r="B71" s="682"/>
      <c r="C71" s="542"/>
      <c r="D71" s="744"/>
      <c r="E71" s="682"/>
      <c r="F71" s="542"/>
      <c r="G71" s="702"/>
      <c r="H71" s="702"/>
      <c r="I71" s="702"/>
      <c r="J71" s="781"/>
    </row>
    <row r="72" spans="1:16" ht="15.75">
      <c r="A72" s="1304" t="s">
        <v>62</v>
      </c>
      <c r="B72" s="1305"/>
      <c r="C72" s="670"/>
      <c r="D72" s="1306">
        <f>D6+D15+D67+D69</f>
        <v>15952802.041059371</v>
      </c>
      <c r="E72" s="726">
        <f>D72/F2</f>
        <v>159528.02041059372</v>
      </c>
      <c r="F72" s="727" t="s">
        <v>104</v>
      </c>
      <c r="G72" s="1307">
        <v>15952801.782441225</v>
      </c>
      <c r="H72" s="1307" t="s">
        <v>536</v>
      </c>
      <c r="I72" s="1308"/>
      <c r="J72" s="702"/>
      <c r="M72" s="721"/>
      <c r="O72" s="934"/>
    </row>
    <row r="73" spans="1:16">
      <c r="A73" s="664"/>
      <c r="B73" s="664"/>
      <c r="C73" s="664"/>
      <c r="D73" s="652"/>
      <c r="F73" s="532"/>
      <c r="G73" s="702"/>
      <c r="H73" s="702"/>
      <c r="I73" s="702"/>
      <c r="J73" s="702"/>
      <c r="O73" s="1023"/>
    </row>
    <row r="74" spans="1:16" ht="15.75">
      <c r="A74" s="1309" t="s">
        <v>80</v>
      </c>
      <c r="B74" s="664"/>
      <c r="C74" s="1310"/>
      <c r="D74" s="1079"/>
      <c r="E74" s="1311"/>
      <c r="F74" s="703"/>
      <c r="H74" s="702"/>
      <c r="I74" s="728"/>
      <c r="J74" s="728"/>
    </row>
    <row r="75" spans="1:16">
      <c r="A75" s="662" t="s">
        <v>505</v>
      </c>
      <c r="B75" s="664"/>
      <c r="C75" s="1310"/>
      <c r="D75" s="541">
        <f>G72-D82</f>
        <v>15822801.782441225</v>
      </c>
      <c r="E75" s="558">
        <f>D75/$D$72</f>
        <v>0.99185094516414418</v>
      </c>
      <c r="F75" s="652"/>
      <c r="G75" s="936"/>
      <c r="H75" s="702"/>
      <c r="I75" s="702"/>
      <c r="J75" s="702"/>
      <c r="O75" s="1312"/>
    </row>
    <row r="76" spans="1:16" hidden="1">
      <c r="A76" s="662" t="str">
        <f t="shared" ref="A76:A81" si="0">A88</f>
        <v>Second Mortgage (Lender: )</v>
      </c>
      <c r="B76" s="664"/>
      <c r="C76" s="1310"/>
      <c r="D76" s="541">
        <v>0</v>
      </c>
      <c r="E76" s="558">
        <f t="shared" ref="E76:E80" si="1">D76/$D$72</f>
        <v>0</v>
      </c>
      <c r="F76" s="532"/>
      <c r="G76" s="1313"/>
      <c r="H76" s="702"/>
      <c r="I76" s="1308"/>
      <c r="J76" s="1206"/>
      <c r="O76" s="1314"/>
    </row>
    <row r="77" spans="1:16" hidden="1">
      <c r="A77" s="662" t="str">
        <f t="shared" si="0"/>
        <v>Third Mortgage (Lender:  )</v>
      </c>
      <c r="C77" s="781"/>
      <c r="D77" s="541">
        <f>D89</f>
        <v>0</v>
      </c>
      <c r="E77" s="558">
        <f t="shared" si="1"/>
        <v>0</v>
      </c>
      <c r="I77" s="702"/>
      <c r="J77" s="702"/>
      <c r="O77" s="1315"/>
    </row>
    <row r="78" spans="1:16" hidden="1">
      <c r="A78" s="662" t="str">
        <f t="shared" si="0"/>
        <v>Fourth Mortgage (Lender:  )</v>
      </c>
      <c r="C78" s="781"/>
      <c r="D78" s="541">
        <f>D90</f>
        <v>0</v>
      </c>
      <c r="E78" s="558">
        <f t="shared" si="1"/>
        <v>0</v>
      </c>
      <c r="F78" s="652"/>
      <c r="G78" s="1316"/>
      <c r="H78" s="1206"/>
      <c r="I78" s="702"/>
      <c r="J78" s="702"/>
    </row>
    <row r="79" spans="1:16" hidden="1">
      <c r="A79" s="662" t="str">
        <f t="shared" si="0"/>
        <v>Tax Credit Equity</v>
      </c>
      <c r="B79" s="664"/>
      <c r="C79" s="781"/>
      <c r="D79" s="541">
        <f>D91*0.4</f>
        <v>0</v>
      </c>
      <c r="E79" s="558">
        <f t="shared" si="1"/>
        <v>0</v>
      </c>
      <c r="F79" s="796"/>
      <c r="G79" s="1342"/>
      <c r="H79" s="1069"/>
      <c r="I79" s="709"/>
      <c r="J79" s="709"/>
      <c r="K79" s="709"/>
    </row>
    <row r="80" spans="1:16" ht="15.75" hidden="1">
      <c r="A80" s="662" t="str">
        <f t="shared" si="0"/>
        <v>Deferred Developer's Fee</v>
      </c>
      <c r="C80" s="781"/>
      <c r="D80" s="541">
        <v>0</v>
      </c>
      <c r="E80" s="558">
        <f t="shared" si="1"/>
        <v>0</v>
      </c>
      <c r="F80" s="796"/>
      <c r="G80" s="1318"/>
      <c r="H80" s="1319"/>
      <c r="I80" s="1343"/>
      <c r="J80" s="192"/>
      <c r="K80" s="709"/>
      <c r="L80" s="1321"/>
      <c r="M80" s="1322"/>
    </row>
    <row r="81" spans="1:14" hidden="1">
      <c r="A81" s="662" t="str">
        <f t="shared" si="0"/>
        <v>Other source (Specify:  )</v>
      </c>
      <c r="C81" s="781"/>
      <c r="D81" s="541">
        <v>0</v>
      </c>
      <c r="E81" s="558">
        <f>D81/$D$72</f>
        <v>0</v>
      </c>
      <c r="F81" s="652"/>
      <c r="G81" s="1317"/>
      <c r="H81" s="1069"/>
      <c r="I81" s="720"/>
      <c r="J81" s="1323"/>
      <c r="K81" s="709"/>
    </row>
    <row r="82" spans="1:14">
      <c r="A82" s="662" t="s">
        <v>396</v>
      </c>
      <c r="C82" s="781"/>
      <c r="D82" s="541">
        <f>D60</f>
        <v>130000</v>
      </c>
      <c r="E82" s="558">
        <f>D82/$D$72</f>
        <v>8.1490386244000013E-3</v>
      </c>
      <c r="F82" s="652"/>
      <c r="G82" s="1317"/>
      <c r="H82" s="1069"/>
      <c r="K82" s="709"/>
      <c r="N82" s="1087"/>
    </row>
    <row r="83" spans="1:14" hidden="1">
      <c r="A83" s="662" t="str">
        <f>A94</f>
        <v>Other source (Specify: Reso A funds                       )</v>
      </c>
      <c r="C83" s="781"/>
      <c r="D83" s="541">
        <v>0</v>
      </c>
      <c r="E83" s="558">
        <f>D83/$D$72</f>
        <v>0</v>
      </c>
      <c r="G83" s="1324"/>
      <c r="H83" s="1069"/>
      <c r="K83" s="709"/>
    </row>
    <row r="84" spans="1:14" ht="15.75">
      <c r="A84" s="664" t="s">
        <v>1</v>
      </c>
      <c r="C84" s="781"/>
      <c r="D84" s="1018">
        <f>D75+D76+D77+D79+D80+D81+D83+D82+D78</f>
        <v>15952801.782441225</v>
      </c>
      <c r="E84" s="1076">
        <f>E75+E76+E77+E79+E80+E81+E83+E82+E78</f>
        <v>0.99999998378854416</v>
      </c>
      <c r="G84" s="1317"/>
      <c r="H84" s="1069"/>
      <c r="K84" s="709"/>
    </row>
    <row r="85" spans="1:14">
      <c r="C85" s="781"/>
      <c r="D85" s="1325" t="s">
        <v>115</v>
      </c>
      <c r="G85" s="1317"/>
      <c r="H85" s="709"/>
      <c r="K85" s="709"/>
    </row>
    <row r="86" spans="1:14" ht="15.75">
      <c r="A86" s="1309" t="s">
        <v>78</v>
      </c>
      <c r="B86" s="664"/>
      <c r="C86" s="1310"/>
      <c r="D86" s="1019" t="s">
        <v>115</v>
      </c>
      <c r="E86" s="532"/>
      <c r="F86" s="710"/>
      <c r="G86" s="1317"/>
      <c r="H86" s="709"/>
      <c r="I86" s="1326"/>
      <c r="J86" s="192"/>
      <c r="K86" s="709"/>
    </row>
    <row r="87" spans="1:14">
      <c r="A87" s="662" t="s">
        <v>506</v>
      </c>
      <c r="B87" s="664"/>
      <c r="C87" s="1310"/>
      <c r="D87" s="541">
        <f>D84</f>
        <v>15952801.782441225</v>
      </c>
      <c r="E87" s="558">
        <f>D87/$D$72</f>
        <v>0.99999998378854416</v>
      </c>
      <c r="F87" s="710"/>
      <c r="G87" s="709"/>
      <c r="H87" s="709"/>
      <c r="I87" s="709"/>
      <c r="J87" s="709"/>
      <c r="K87" s="709"/>
    </row>
    <row r="88" spans="1:14" hidden="1">
      <c r="A88" s="662" t="s">
        <v>532</v>
      </c>
      <c r="B88" s="664"/>
      <c r="C88" s="1310"/>
      <c r="D88" s="541">
        <v>0</v>
      </c>
      <c r="E88" s="558">
        <f t="shared" ref="E88:E94" si="2">D88/$D$72</f>
        <v>0</v>
      </c>
      <c r="F88" s="712"/>
      <c r="G88" s="713"/>
      <c r="H88" s="714"/>
      <c r="I88" s="709"/>
      <c r="J88" s="709"/>
      <c r="K88" s="709"/>
    </row>
    <row r="89" spans="1:14" hidden="1">
      <c r="A89" s="662" t="s">
        <v>533</v>
      </c>
      <c r="B89" s="664"/>
      <c r="C89" s="1310"/>
      <c r="D89" s="541">
        <v>0</v>
      </c>
      <c r="E89" s="558">
        <f t="shared" si="2"/>
        <v>0</v>
      </c>
      <c r="F89" s="712"/>
      <c r="G89" s="715"/>
      <c r="H89" s="716"/>
      <c r="I89" s="709"/>
      <c r="J89" s="709"/>
      <c r="K89" s="709"/>
    </row>
    <row r="90" spans="1:14" hidden="1">
      <c r="A90" s="662" t="s">
        <v>534</v>
      </c>
      <c r="B90" s="664"/>
      <c r="C90" s="1310"/>
      <c r="D90" s="541">
        <v>0</v>
      </c>
      <c r="E90" s="558">
        <f t="shared" si="2"/>
        <v>0</v>
      </c>
      <c r="F90" s="712"/>
      <c r="G90" s="717"/>
      <c r="H90" s="716"/>
      <c r="I90" s="709"/>
      <c r="J90" s="709"/>
      <c r="K90" s="709"/>
    </row>
    <row r="91" spans="1:14" hidden="1">
      <c r="A91" s="662" t="s">
        <v>358</v>
      </c>
      <c r="B91" s="664"/>
      <c r="C91" s="1310"/>
      <c r="D91" s="541">
        <v>0</v>
      </c>
      <c r="E91" s="558">
        <f t="shared" si="2"/>
        <v>0</v>
      </c>
      <c r="G91" s="713"/>
      <c r="H91" s="716"/>
      <c r="I91" s="709"/>
      <c r="J91" s="709"/>
      <c r="K91" s="709"/>
    </row>
    <row r="92" spans="1:14" ht="15.75" hidden="1">
      <c r="A92" s="662" t="s">
        <v>71</v>
      </c>
      <c r="B92" s="664"/>
      <c r="C92" s="1310"/>
      <c r="D92" s="541">
        <v>0</v>
      </c>
      <c r="E92" s="558">
        <f t="shared" si="2"/>
        <v>0</v>
      </c>
      <c r="F92" s="718"/>
      <c r="G92" s="1327"/>
      <c r="H92" s="1328"/>
      <c r="K92" s="709"/>
      <c r="L92" s="1321"/>
      <c r="M92" s="1322"/>
    </row>
    <row r="93" spans="1:14" ht="15.75" hidden="1">
      <c r="A93" s="662" t="s">
        <v>535</v>
      </c>
      <c r="B93" s="664"/>
      <c r="C93" s="1310"/>
      <c r="D93" s="541">
        <v>0</v>
      </c>
      <c r="E93" s="558">
        <f t="shared" si="2"/>
        <v>0</v>
      </c>
      <c r="F93" s="718"/>
      <c r="G93" s="713"/>
      <c r="H93" s="716"/>
      <c r="K93" s="709"/>
    </row>
    <row r="94" spans="1:14" ht="15.75" hidden="1">
      <c r="A94" s="662" t="s">
        <v>370</v>
      </c>
      <c r="B94" s="664"/>
      <c r="C94" s="1310"/>
      <c r="D94" s="541">
        <v>0</v>
      </c>
      <c r="E94" s="558">
        <f t="shared" si="2"/>
        <v>0</v>
      </c>
      <c r="F94" s="718"/>
      <c r="G94" s="713"/>
      <c r="H94" s="716"/>
      <c r="K94" s="709"/>
    </row>
    <row r="95" spans="1:14" ht="15.75">
      <c r="A95" s="664" t="str">
        <f>A84</f>
        <v>Total</v>
      </c>
      <c r="B95" s="1075"/>
      <c r="C95" s="1310"/>
      <c r="D95" s="1037">
        <f>D87+D88+D89+D91+D92+D93+D94+D90</f>
        <v>15952801.782441225</v>
      </c>
      <c r="E95" s="1076">
        <f>E87+E88+E89+E91+E92+E93+E94</f>
        <v>0.99999998378854416</v>
      </c>
      <c r="F95" s="710"/>
      <c r="G95" s="709"/>
      <c r="H95" s="709"/>
      <c r="I95" s="709"/>
      <c r="J95" s="709"/>
      <c r="K95" s="709"/>
    </row>
    <row r="96" spans="1:14" ht="15.75">
      <c r="A96" s="664"/>
      <c r="B96" s="1075"/>
      <c r="C96" s="1329"/>
      <c r="D96" s="1078"/>
      <c r="E96" s="558"/>
      <c r="F96" s="718"/>
      <c r="G96" s="1330"/>
      <c r="H96" s="709"/>
      <c r="I96" s="709"/>
      <c r="J96" s="709"/>
      <c r="K96" s="709"/>
    </row>
    <row r="97" spans="1:11">
      <c r="A97" s="664"/>
      <c r="B97" s="664"/>
      <c r="C97" s="1310"/>
      <c r="D97" s="1308">
        <f>-PMT(G97/12,360,D87)</f>
        <v>88091.962037999183</v>
      </c>
      <c r="E97" s="702" t="s">
        <v>528</v>
      </c>
      <c r="F97" s="1369" t="s">
        <v>545</v>
      </c>
      <c r="G97" s="599">
        <v>5.2499999999999998E-2</v>
      </c>
      <c r="H97" s="1069"/>
      <c r="I97" s="713"/>
      <c r="J97" s="709"/>
      <c r="K97" s="709"/>
    </row>
    <row r="98" spans="1:11">
      <c r="A98" s="1331"/>
      <c r="B98" s="1331"/>
      <c r="C98" s="886"/>
      <c r="D98" s="709"/>
      <c r="E98" s="709"/>
      <c r="F98" s="1332"/>
      <c r="G98" s="709"/>
      <c r="H98" s="709"/>
      <c r="I98" s="1333"/>
      <c r="J98" s="1069"/>
      <c r="K98" s="709"/>
    </row>
    <row r="99" spans="1:11" ht="15.75">
      <c r="A99" s="22"/>
      <c r="B99" s="12"/>
      <c r="C99" s="781"/>
      <c r="D99" s="1320">
        <f>(D97*12)/F2/365</f>
        <v>28.961740943999732</v>
      </c>
      <c r="E99" s="1161" t="s">
        <v>460</v>
      </c>
      <c r="G99" s="709"/>
      <c r="H99" s="709"/>
      <c r="I99" s="709"/>
      <c r="J99" s="709"/>
      <c r="K99" s="709"/>
    </row>
    <row r="100" spans="1:11">
      <c r="C100" s="1334"/>
      <c r="G100" s="709"/>
      <c r="H100" s="709"/>
      <c r="I100" s="709"/>
      <c r="J100" s="709"/>
      <c r="K100" s="709"/>
    </row>
    <row r="101" spans="1:11">
      <c r="C101" s="781"/>
      <c r="G101" s="709"/>
      <c r="H101" s="709"/>
      <c r="I101" s="709"/>
      <c r="J101" s="709"/>
      <c r="K101" s="709"/>
    </row>
    <row r="102" spans="1:11">
      <c r="C102" s="781"/>
      <c r="G102" s="1333"/>
      <c r="H102" s="709"/>
      <c r="I102" s="709"/>
      <c r="J102" s="709"/>
      <c r="K102" s="709"/>
    </row>
    <row r="103" spans="1:11">
      <c r="C103" s="781"/>
      <c r="G103" s="709"/>
      <c r="H103" s="709"/>
      <c r="I103" s="1335"/>
      <c r="J103" s="1069"/>
      <c r="K103" s="709"/>
    </row>
    <row r="104" spans="1:11">
      <c r="G104" s="709"/>
      <c r="H104" s="709"/>
      <c r="I104" s="709"/>
      <c r="J104" s="709"/>
      <c r="K104" s="709"/>
    </row>
    <row r="105" spans="1:11">
      <c r="G105" s="709"/>
      <c r="H105" s="709"/>
      <c r="I105" s="709"/>
      <c r="J105" s="709"/>
      <c r="K105" s="709"/>
    </row>
    <row r="106" spans="1:11">
      <c r="G106" s="709"/>
      <c r="H106" s="709"/>
      <c r="I106" s="709"/>
      <c r="J106" s="709"/>
      <c r="K106" s="709"/>
    </row>
    <row r="107" spans="1:11">
      <c r="G107" s="709"/>
      <c r="H107" s="709"/>
      <c r="I107" s="709"/>
      <c r="J107" s="709"/>
      <c r="K107" s="709"/>
    </row>
    <row r="108" spans="1:11">
      <c r="G108" s="709"/>
      <c r="H108" s="709"/>
      <c r="I108" s="713"/>
      <c r="J108" s="709"/>
      <c r="K108" s="709"/>
    </row>
    <row r="109" spans="1:11">
      <c r="G109" s="709"/>
      <c r="H109" s="709"/>
      <c r="I109" s="709"/>
      <c r="J109" s="709"/>
      <c r="K109" s="709"/>
    </row>
    <row r="110" spans="1:11">
      <c r="G110" s="709"/>
      <c r="H110" s="709"/>
      <c r="I110" s="709"/>
      <c r="J110" s="709"/>
      <c r="K110" s="709"/>
    </row>
    <row r="111" spans="1:11">
      <c r="G111" s="709"/>
      <c r="H111" s="709"/>
      <c r="I111" s="709"/>
      <c r="J111" s="709"/>
      <c r="K111" s="709"/>
    </row>
  </sheetData>
  <mergeCells count="1">
    <mergeCell ref="H10:I10"/>
  </mergeCells>
  <pageMargins left="0.75" right="0.5" top="0.75" bottom="0.5" header="0.5" footer="0.5"/>
  <pageSetup scale="49" firstPageNumber="207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6"/>
  <sheetViews>
    <sheetView topLeftCell="A20" zoomScale="60" zoomScaleNormal="75" workbookViewId="0">
      <selection activeCell="C54" sqref="C54"/>
    </sheetView>
  </sheetViews>
  <sheetFormatPr defaultColWidth="8.88671875" defaultRowHeight="15"/>
  <cols>
    <col min="1" max="1" width="27.109375" style="598" bestFit="1" customWidth="1"/>
    <col min="2" max="2" width="15" style="598" customWidth="1"/>
    <col min="3" max="3" width="14.6640625" style="598" customWidth="1"/>
    <col min="4" max="4" width="17.5546875" style="598" customWidth="1"/>
    <col min="5" max="5" width="10.88671875" style="598" customWidth="1"/>
    <col min="6" max="6" width="19.5546875" style="598" customWidth="1"/>
    <col min="7" max="7" width="15.33203125" style="598" customWidth="1"/>
    <col min="8" max="8" width="12.88671875" style="598" customWidth="1"/>
    <col min="9" max="16384" width="8.88671875" style="598"/>
  </cols>
  <sheetData>
    <row r="1" spans="1:6" ht="15.75">
      <c r="A1" s="1" t="s">
        <v>489</v>
      </c>
      <c r="E1" s="381"/>
      <c r="F1" s="381"/>
    </row>
    <row r="2" spans="1:6" ht="15.75">
      <c r="A2" s="1" t="s">
        <v>490</v>
      </c>
      <c r="E2" s="381" t="str">
        <f>'Sources and Use-shltr'!C2</f>
        <v>Units:</v>
      </c>
      <c r="F2" s="381">
        <v>100</v>
      </c>
    </row>
    <row r="3" spans="1:6" ht="15.75">
      <c r="A3" s="31"/>
      <c r="B3" s="525"/>
      <c r="C3" s="605"/>
      <c r="D3" s="525"/>
      <c r="E3" s="679"/>
    </row>
    <row r="4" spans="1:6" ht="15.75">
      <c r="A4" s="31" t="s">
        <v>189</v>
      </c>
      <c r="B4" s="525"/>
      <c r="C4" s="525"/>
      <c r="D4" s="525"/>
      <c r="E4" s="679"/>
    </row>
    <row r="5" spans="1:6" ht="15.75">
      <c r="A5" s="31"/>
      <c r="B5" s="525"/>
      <c r="C5" s="525"/>
      <c r="D5" s="525"/>
      <c r="E5" s="679"/>
    </row>
    <row r="6" spans="1:6" ht="15.75">
      <c r="A6" s="31"/>
      <c r="B6" s="525"/>
      <c r="C6" s="525"/>
      <c r="D6" s="525"/>
      <c r="E6" s="679"/>
    </row>
    <row r="7" spans="1:6" ht="15.75">
      <c r="A7" s="30" t="s">
        <v>134</v>
      </c>
      <c r="B7" s="666"/>
      <c r="C7" s="692"/>
    </row>
    <row r="8" spans="1:6">
      <c r="A8" s="692" t="s">
        <v>100</v>
      </c>
      <c r="B8" s="561">
        <f>'Devel. Bud-shltr'!D87</f>
        <v>15952801.782441225</v>
      </c>
      <c r="C8" s="1179"/>
    </row>
    <row r="9" spans="1:6">
      <c r="A9" s="692" t="s">
        <v>101</v>
      </c>
      <c r="B9" s="561">
        <v>0</v>
      </c>
      <c r="C9" s="1179"/>
    </row>
    <row r="10" spans="1:6" ht="15.75">
      <c r="A10" s="692" t="s">
        <v>99</v>
      </c>
      <c r="B10" s="224">
        <f>'Devel. Bud-shltr'!D75</f>
        <v>15822801.782441225</v>
      </c>
      <c r="C10" s="525"/>
      <c r="F10" s="1180"/>
    </row>
    <row r="11" spans="1:6" ht="15.75">
      <c r="A11" s="100"/>
      <c r="B11" s="525"/>
      <c r="C11" s="525"/>
    </row>
    <row r="12" spans="1:6" ht="15.75">
      <c r="A12" s="100"/>
      <c r="B12" s="525"/>
      <c r="C12" s="525"/>
    </row>
    <row r="13" spans="1:6" ht="15.75">
      <c r="A13" s="104" t="s">
        <v>42</v>
      </c>
      <c r="B13" s="692" t="s">
        <v>135</v>
      </c>
      <c r="C13" s="692" t="s">
        <v>136</v>
      </c>
    </row>
    <row r="14" spans="1:6">
      <c r="A14" s="692" t="s">
        <v>137</v>
      </c>
      <c r="B14" s="1181">
        <v>20</v>
      </c>
      <c r="C14" s="1182">
        <f>B14/12</f>
        <v>1.6666666666666667</v>
      </c>
      <c r="D14" s="525"/>
      <c r="E14" s="679"/>
    </row>
    <row r="15" spans="1:6">
      <c r="A15" s="692" t="s">
        <v>138</v>
      </c>
      <c r="B15" s="1181">
        <v>8</v>
      </c>
      <c r="C15" s="1182">
        <f>B15/12</f>
        <v>0.66666666666666663</v>
      </c>
      <c r="D15" s="525"/>
      <c r="E15" s="679"/>
    </row>
    <row r="16" spans="1:6">
      <c r="A16" s="692" t="s">
        <v>139</v>
      </c>
      <c r="B16" s="598">
        <f>B14+B15</f>
        <v>28</v>
      </c>
      <c r="C16" s="1182">
        <f>B16/12</f>
        <v>2.3333333333333335</v>
      </c>
      <c r="D16" s="525"/>
      <c r="E16" s="679"/>
    </row>
    <row r="17" spans="1:6">
      <c r="A17" s="692"/>
      <c r="C17" s="525"/>
      <c r="D17" s="525"/>
      <c r="E17" s="679"/>
    </row>
    <row r="18" spans="1:6">
      <c r="A18" s="692"/>
      <c r="C18" s="525"/>
      <c r="D18" s="525"/>
      <c r="E18" s="679"/>
    </row>
    <row r="19" spans="1:6" ht="15.75">
      <c r="A19" s="104" t="s">
        <v>311</v>
      </c>
      <c r="C19" s="525"/>
      <c r="D19" s="525"/>
      <c r="E19" s="1183"/>
      <c r="F19" s="1183"/>
    </row>
    <row r="20" spans="1:6">
      <c r="A20" s="953" t="s">
        <v>221</v>
      </c>
      <c r="B20" s="1073">
        <v>3.4200000000000001E-2</v>
      </c>
      <c r="C20" s="600"/>
      <c r="D20" s="1184"/>
      <c r="E20" s="679"/>
    </row>
    <row r="21" spans="1:6">
      <c r="A21" s="953" t="s">
        <v>222</v>
      </c>
      <c r="B21" s="1073">
        <v>3.4200000000000001E-2</v>
      </c>
      <c r="C21" s="88"/>
      <c r="D21" s="692"/>
      <c r="E21" s="679"/>
    </row>
    <row r="22" spans="1:6">
      <c r="A22" s="953" t="s">
        <v>277</v>
      </c>
      <c r="B22" s="1073">
        <v>1.2500000000000001E-2</v>
      </c>
      <c r="C22" s="599"/>
      <c r="D22" s="525"/>
      <c r="E22" s="679"/>
    </row>
    <row r="23" spans="1:6">
      <c r="A23" s="953" t="s">
        <v>278</v>
      </c>
      <c r="B23" s="1073">
        <v>1.2500000000000001E-2</v>
      </c>
      <c r="C23" s="599"/>
      <c r="D23" s="525"/>
      <c r="E23" s="679"/>
    </row>
    <row r="24" spans="1:6">
      <c r="A24" s="953" t="s">
        <v>279</v>
      </c>
      <c r="B24" s="1073"/>
      <c r="C24" s="599"/>
      <c r="D24" s="525"/>
      <c r="E24" s="679"/>
    </row>
    <row r="25" spans="1:6">
      <c r="A25" s="525"/>
      <c r="B25" s="679"/>
      <c r="C25" s="599"/>
      <c r="D25" s="525"/>
      <c r="E25" s="679"/>
    </row>
    <row r="26" spans="1:6" ht="15.75" hidden="1">
      <c r="A26" s="147" t="s">
        <v>140</v>
      </c>
      <c r="B26" s="1185"/>
      <c r="C26" s="1186"/>
      <c r="D26" s="1187"/>
      <c r="E26" s="1185"/>
    </row>
    <row r="27" spans="1:6" hidden="1">
      <c r="A27" s="1188" t="s">
        <v>312</v>
      </c>
      <c r="B27" s="1189">
        <v>0</v>
      </c>
      <c r="C27" s="1187"/>
      <c r="D27" s="1187"/>
      <c r="E27" s="1185"/>
    </row>
    <row r="28" spans="1:6" hidden="1">
      <c r="A28" s="1190" t="s">
        <v>310</v>
      </c>
      <c r="B28" s="1189">
        <v>0</v>
      </c>
      <c r="C28" s="1187"/>
      <c r="D28" s="1187"/>
      <c r="E28" s="1185"/>
    </row>
    <row r="29" spans="1:6" hidden="1">
      <c r="A29" s="1188" t="s">
        <v>140</v>
      </c>
      <c r="B29" s="1191">
        <f>SUM(B27:B28)</f>
        <v>0</v>
      </c>
      <c r="C29" s="1187"/>
      <c r="D29" s="1187"/>
      <c r="E29" s="1185"/>
    </row>
    <row r="30" spans="1:6" hidden="1">
      <c r="A30" s="1188"/>
      <c r="B30" s="1186"/>
      <c r="C30" s="1187"/>
      <c r="D30" s="1187"/>
      <c r="E30" s="1185"/>
    </row>
    <row r="31" spans="1:6">
      <c r="A31" s="692"/>
      <c r="C31" s="525"/>
      <c r="D31" s="525"/>
      <c r="E31" s="679"/>
    </row>
    <row r="32" spans="1:6" ht="15.75">
      <c r="A32" s="104" t="s">
        <v>149</v>
      </c>
      <c r="C32" s="525"/>
      <c r="D32" s="525"/>
      <c r="E32" s="679"/>
    </row>
    <row r="33" spans="1:8" ht="15.75">
      <c r="A33" s="104"/>
      <c r="C33" s="525"/>
      <c r="D33" s="525"/>
      <c r="E33" s="679"/>
    </row>
    <row r="34" spans="1:8" ht="15.75">
      <c r="A34" s="100" t="s">
        <v>143</v>
      </c>
      <c r="B34" s="635" t="s">
        <v>141</v>
      </c>
      <c r="C34" s="635" t="s">
        <v>68</v>
      </c>
      <c r="D34" s="550" t="s">
        <v>144</v>
      </c>
      <c r="E34" s="550" t="s">
        <v>142</v>
      </c>
      <c r="F34" s="583" t="s">
        <v>145</v>
      </c>
    </row>
    <row r="35" spans="1:8">
      <c r="A35" s="692" t="s">
        <v>280</v>
      </c>
      <c r="B35" s="1192">
        <f>B9</f>
        <v>0</v>
      </c>
      <c r="C35" s="1193">
        <v>1</v>
      </c>
      <c r="D35" s="556">
        <f>C14</f>
        <v>1.6666666666666667</v>
      </c>
      <c r="E35" s="600">
        <f>B21</f>
        <v>3.4200000000000001E-2</v>
      </c>
      <c r="F35" s="1194">
        <f t="shared" ref="F35:F41" si="0">B35*C35*D35*E35</f>
        <v>0</v>
      </c>
      <c r="H35" s="697">
        <f>AVERAGE(E35,E36,E39,E40)</f>
        <v>2.3349999999999999E-2</v>
      </c>
    </row>
    <row r="36" spans="1:8">
      <c r="A36" s="692"/>
      <c r="B36" s="1192">
        <f>B9</f>
        <v>0</v>
      </c>
      <c r="C36" s="1193">
        <v>1</v>
      </c>
      <c r="D36" s="556">
        <f>C15</f>
        <v>0.66666666666666663</v>
      </c>
      <c r="E36" s="600">
        <f>B21</f>
        <v>3.4200000000000001E-2</v>
      </c>
      <c r="F36" s="1194">
        <f t="shared" si="0"/>
        <v>0</v>
      </c>
      <c r="H36" s="698">
        <f>B35+B39+B40</f>
        <v>0</v>
      </c>
    </row>
    <row r="37" spans="1:8">
      <c r="A37" s="692" t="s">
        <v>281</v>
      </c>
      <c r="B37" s="1192">
        <f>B10</f>
        <v>15822801.782441225</v>
      </c>
      <c r="C37" s="1193">
        <v>1</v>
      </c>
      <c r="D37" s="556">
        <f>C14</f>
        <v>1.6666666666666667</v>
      </c>
      <c r="E37" s="600">
        <f>B20</f>
        <v>3.4200000000000001E-2</v>
      </c>
      <c r="F37" s="1194">
        <f t="shared" si="0"/>
        <v>901899.70159914996</v>
      </c>
      <c r="H37" s="699">
        <f>H36*H35</f>
        <v>0</v>
      </c>
    </row>
    <row r="38" spans="1:8">
      <c r="A38" s="692"/>
      <c r="B38" s="1192">
        <f>B10</f>
        <v>15822801.782441225</v>
      </c>
      <c r="C38" s="1193">
        <v>1</v>
      </c>
      <c r="D38" s="556">
        <f>C15</f>
        <v>0.66666666666666663</v>
      </c>
      <c r="E38" s="600">
        <f>B20</f>
        <v>3.4200000000000001E-2</v>
      </c>
      <c r="F38" s="1194">
        <f t="shared" si="0"/>
        <v>360759.88063965988</v>
      </c>
      <c r="G38" s="1195"/>
      <c r="H38" s="700"/>
    </row>
    <row r="39" spans="1:8">
      <c r="A39" s="692" t="str">
        <f>A22</f>
        <v>2nd Construction</v>
      </c>
      <c r="B39" s="1192">
        <v>0</v>
      </c>
      <c r="C39" s="1193">
        <v>1</v>
      </c>
      <c r="D39" s="557">
        <f>C16</f>
        <v>2.3333333333333335</v>
      </c>
      <c r="E39" s="600">
        <f>B22</f>
        <v>1.2500000000000001E-2</v>
      </c>
      <c r="F39" s="1194">
        <f t="shared" si="0"/>
        <v>0</v>
      </c>
      <c r="G39" s="386"/>
      <c r="H39" s="700">
        <f>H35*C16</f>
        <v>5.4483333333333335E-2</v>
      </c>
    </row>
    <row r="40" spans="1:8">
      <c r="A40" s="692" t="str">
        <f>A23</f>
        <v>3rd Construction</v>
      </c>
      <c r="B40" s="1192">
        <v>0</v>
      </c>
      <c r="C40" s="1193">
        <v>1</v>
      </c>
      <c r="D40" s="557">
        <f>C16</f>
        <v>2.3333333333333335</v>
      </c>
      <c r="E40" s="600">
        <f>B23</f>
        <v>1.2500000000000001E-2</v>
      </c>
      <c r="F40" s="1194">
        <f t="shared" si="0"/>
        <v>0</v>
      </c>
      <c r="G40" s="1195"/>
      <c r="H40" s="700"/>
    </row>
    <row r="41" spans="1:8">
      <c r="A41" s="692" t="str">
        <f>A24</f>
        <v>4th Construction</v>
      </c>
      <c r="B41" s="1192">
        <v>0</v>
      </c>
      <c r="C41" s="1193">
        <v>1</v>
      </c>
      <c r="D41" s="557">
        <f>B24</f>
        <v>0</v>
      </c>
      <c r="E41" s="600">
        <f>B24</f>
        <v>0</v>
      </c>
      <c r="F41" s="1194">
        <f t="shared" si="0"/>
        <v>0</v>
      </c>
      <c r="G41" s="386"/>
      <c r="H41" s="700"/>
    </row>
    <row r="42" spans="1:8" ht="15.75">
      <c r="C42" s="525"/>
      <c r="D42" s="525"/>
      <c r="E42" s="100" t="s">
        <v>146</v>
      </c>
      <c r="F42" s="110">
        <f>SUM(F35:F40)</f>
        <v>1262659.5822388099</v>
      </c>
      <c r="H42" s="1196" t="e">
        <f>F42/H36</f>
        <v>#DIV/0!</v>
      </c>
    </row>
    <row r="43" spans="1:8" ht="15.75">
      <c r="A43" s="104"/>
      <c r="C43" s="525"/>
      <c r="D43" s="525"/>
      <c r="E43" s="679"/>
      <c r="F43" s="1194"/>
    </row>
    <row r="44" spans="1:8" ht="13.5" customHeight="1">
      <c r="A44" s="104"/>
      <c r="C44" s="525"/>
      <c r="D44" s="525"/>
      <c r="E44" s="679"/>
    </row>
    <row r="45" spans="1:8" ht="15.75">
      <c r="A45" s="100" t="s">
        <v>140</v>
      </c>
      <c r="B45" s="635" t="s">
        <v>141</v>
      </c>
      <c r="C45" s="635" t="s">
        <v>68</v>
      </c>
      <c r="D45" s="550" t="s">
        <v>144</v>
      </c>
      <c r="E45" s="550" t="s">
        <v>142</v>
      </c>
      <c r="F45" s="583" t="s">
        <v>145</v>
      </c>
    </row>
    <row r="46" spans="1:8">
      <c r="A46" s="692" t="s">
        <v>147</v>
      </c>
      <c r="B46" s="1192">
        <f>B10</f>
        <v>15822801.782441225</v>
      </c>
      <c r="C46" s="1193">
        <v>0.5</v>
      </c>
      <c r="D46" s="556">
        <f>C14</f>
        <v>1.6666666666666667</v>
      </c>
      <c r="E46" s="600">
        <f>B29</f>
        <v>0</v>
      </c>
      <c r="F46" s="1194">
        <f>B46*C46*D46*E46</f>
        <v>0</v>
      </c>
    </row>
    <row r="47" spans="1:8">
      <c r="A47" s="692"/>
      <c r="B47" s="1192">
        <f>B10</f>
        <v>15822801.782441225</v>
      </c>
      <c r="C47" s="1193">
        <v>1</v>
      </c>
      <c r="D47" s="556">
        <f>C15</f>
        <v>0.66666666666666663</v>
      </c>
      <c r="E47" s="600">
        <f>B29</f>
        <v>0</v>
      </c>
      <c r="F47" s="1194">
        <f>B47*C47*D47*E47</f>
        <v>0</v>
      </c>
    </row>
    <row r="48" spans="1:8">
      <c r="A48" s="692" t="s">
        <v>54</v>
      </c>
      <c r="B48" s="1192">
        <v>0</v>
      </c>
      <c r="C48" s="1193">
        <v>1</v>
      </c>
      <c r="D48" s="556">
        <f>C16</f>
        <v>2.3333333333333335</v>
      </c>
      <c r="E48" s="600">
        <f>B30</f>
        <v>0</v>
      </c>
      <c r="F48" s="1194">
        <f>B48*C48*D48*E48</f>
        <v>0</v>
      </c>
    </row>
    <row r="49" spans="1:8">
      <c r="A49" s="692" t="s">
        <v>363</v>
      </c>
      <c r="B49" s="1192">
        <v>0</v>
      </c>
      <c r="C49" s="1193">
        <v>1</v>
      </c>
      <c r="D49" s="556">
        <f>C16</f>
        <v>2.3333333333333335</v>
      </c>
      <c r="E49" s="600">
        <f>B31</f>
        <v>0</v>
      </c>
      <c r="F49" s="1194">
        <f>B49*C49*D49*E49</f>
        <v>0</v>
      </c>
    </row>
    <row r="50" spans="1:8" ht="15.75">
      <c r="C50" s="525"/>
      <c r="D50" s="525"/>
      <c r="E50" s="100" t="s">
        <v>148</v>
      </c>
      <c r="F50" s="110">
        <f>SUM(F46:F49)</f>
        <v>0</v>
      </c>
    </row>
    <row r="51" spans="1:8">
      <c r="A51" s="525"/>
      <c r="B51" s="525"/>
      <c r="C51" s="525"/>
      <c r="D51" s="525"/>
      <c r="E51" s="679"/>
    </row>
    <row r="52" spans="1:8">
      <c r="A52" s="1197"/>
      <c r="B52" s="1197"/>
      <c r="C52" s="1197"/>
      <c r="D52" s="1197"/>
      <c r="E52" s="1198"/>
      <c r="F52" s="1197"/>
      <c r="G52" s="525"/>
      <c r="H52" s="525"/>
    </row>
    <row r="53" spans="1:8" ht="15.75">
      <c r="A53" s="30" t="s">
        <v>129</v>
      </c>
    </row>
    <row r="54" spans="1:8" s="30" customFormat="1" ht="15.75">
      <c r="A54" s="1199" t="s">
        <v>153</v>
      </c>
      <c r="B54" s="1200"/>
    </row>
    <row r="55" spans="1:8" s="30" customFormat="1" ht="15.75">
      <c r="B55" s="1200"/>
    </row>
    <row r="56" spans="1:8" s="30" customFormat="1" ht="15.75">
      <c r="A56" s="953" t="s">
        <v>152</v>
      </c>
      <c r="B56" s="1201">
        <v>3.0000000000000001E-3</v>
      </c>
    </row>
    <row r="57" spans="1:8" s="30" customFormat="1" ht="15.75">
      <c r="B57" s="1200"/>
    </row>
    <row r="58" spans="1:8" s="30" customFormat="1" ht="15.75">
      <c r="B58" s="1200"/>
    </row>
    <row r="59" spans="1:8" ht="17.25" customHeight="1">
      <c r="B59" s="1202" t="s">
        <v>194</v>
      </c>
      <c r="C59" s="1202" t="s">
        <v>193</v>
      </c>
    </row>
    <row r="60" spans="1:8">
      <c r="A60" s="666" t="s">
        <v>150</v>
      </c>
      <c r="B60" s="1203">
        <f>B21</f>
        <v>3.4200000000000001E-2</v>
      </c>
      <c r="C60" s="1204">
        <f>B20</f>
        <v>3.4200000000000001E-2</v>
      </c>
    </row>
    <row r="61" spans="1:8">
      <c r="A61" s="692" t="s">
        <v>101</v>
      </c>
      <c r="B61" s="1192">
        <f>B9</f>
        <v>0</v>
      </c>
      <c r="C61" s="652">
        <f>B8</f>
        <v>15952801.782441225</v>
      </c>
    </row>
    <row r="62" spans="1:8">
      <c r="A62" s="666" t="s">
        <v>68</v>
      </c>
      <c r="B62" s="1023">
        <v>0.5</v>
      </c>
      <c r="C62" s="1023">
        <v>0.5</v>
      </c>
    </row>
    <row r="63" spans="1:8">
      <c r="A63" s="666" t="s">
        <v>102</v>
      </c>
      <c r="B63" s="1205">
        <f>B60-B56</f>
        <v>3.1200000000000002E-2</v>
      </c>
      <c r="C63" s="1205">
        <f>C60-B56</f>
        <v>3.1200000000000002E-2</v>
      </c>
    </row>
    <row r="64" spans="1:8">
      <c r="A64" s="666" t="s">
        <v>151</v>
      </c>
      <c r="B64" s="598">
        <v>1.5</v>
      </c>
      <c r="C64" s="598">
        <v>1.5</v>
      </c>
    </row>
    <row r="65" spans="1:4">
      <c r="A65" s="666"/>
      <c r="B65" s="1194">
        <f>B61*B62*B63*B64</f>
        <v>0</v>
      </c>
      <c r="C65" s="1194">
        <f>C61*C62*C63*C64</f>
        <v>373295.56170912465</v>
      </c>
      <c r="D65" s="1194"/>
    </row>
    <row r="66" spans="1:4">
      <c r="A66" s="666"/>
    </row>
    <row r="67" spans="1:4" ht="15.75">
      <c r="A67" s="100" t="s">
        <v>53</v>
      </c>
      <c r="B67" s="225">
        <f>B65+C65</f>
        <v>373295.56170912465</v>
      </c>
    </row>
    <row r="68" spans="1:4" ht="15.75">
      <c r="A68" s="31"/>
      <c r="B68" s="525"/>
    </row>
    <row r="69" spans="1:4" ht="15.75">
      <c r="A69" s="31"/>
      <c r="B69" s="525"/>
    </row>
    <row r="70" spans="1:4" ht="15.75">
      <c r="A70" s="30" t="s">
        <v>190</v>
      </c>
      <c r="B70" s="12"/>
      <c r="D70" s="450"/>
    </row>
    <row r="71" spans="1:4">
      <c r="A71" s="525"/>
      <c r="B71" s="525"/>
    </row>
    <row r="72" spans="1:4">
      <c r="A72" s="525" t="s">
        <v>134</v>
      </c>
      <c r="B72" s="525"/>
      <c r="C72" s="1206">
        <f>B10</f>
        <v>15822801.782441225</v>
      </c>
    </row>
    <row r="73" spans="1:4">
      <c r="A73" s="525" t="s">
        <v>191</v>
      </c>
      <c r="B73" s="1181">
        <v>60</v>
      </c>
      <c r="C73" s="781">
        <f>C72*B20*(B73/360)</f>
        <v>90189.970159914985</v>
      </c>
    </row>
    <row r="74" spans="1:4" ht="15.75">
      <c r="A74" s="709" t="s">
        <v>192</v>
      </c>
      <c r="B74" s="561"/>
      <c r="C74" s="1207">
        <f>C72+C73</f>
        <v>15912991.752601139</v>
      </c>
    </row>
    <row r="75" spans="1:4">
      <c r="A75" s="525"/>
      <c r="B75" s="905"/>
    </row>
    <row r="76" spans="1:4">
      <c r="A76" s="525"/>
      <c r="B76" s="1208"/>
    </row>
    <row r="77" spans="1:4">
      <c r="A77" s="525"/>
      <c r="B77" s="525"/>
    </row>
    <row r="78" spans="1:4">
      <c r="A78" s="525"/>
      <c r="B78" s="525"/>
    </row>
    <row r="79" spans="1:4">
      <c r="A79" s="525"/>
      <c r="B79" s="1209"/>
    </row>
    <row r="80" spans="1:4">
      <c r="A80" s="525"/>
      <c r="B80" s="1209"/>
    </row>
    <row r="81" spans="1:2">
      <c r="A81" s="525"/>
      <c r="B81" s="1209"/>
    </row>
    <row r="86" spans="1:2">
      <c r="A86" s="525"/>
      <c r="B86" s="1192"/>
    </row>
    <row r="87" spans="1:2">
      <c r="A87" s="525"/>
      <c r="B87" s="1023"/>
    </row>
    <row r="88" spans="1:2">
      <c r="A88" s="525"/>
      <c r="B88" s="1210"/>
    </row>
    <row r="89" spans="1:2">
      <c r="A89" s="525"/>
    </row>
    <row r="91" spans="1:2">
      <c r="B91" s="1211"/>
    </row>
    <row r="93" spans="1:2">
      <c r="B93" s="1212"/>
    </row>
    <row r="96" spans="1:2" ht="15.75">
      <c r="A96" s="30"/>
      <c r="B96" s="33"/>
    </row>
  </sheetData>
  <dataConsolidate/>
  <pageMargins left="0.75" right="0.5" top="0.75" bottom="0.5" header="0.5" footer="0.5"/>
  <pageSetup scale="59" firstPageNumber="208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N30"/>
  <sheetViews>
    <sheetView defaultGridColor="0" colorId="22" zoomScale="75" zoomScaleNormal="75" workbookViewId="0">
      <selection activeCell="D25" sqref="D25"/>
    </sheetView>
  </sheetViews>
  <sheetFormatPr defaultColWidth="9.77734375" defaultRowHeight="15"/>
  <cols>
    <col min="1" max="1" width="17.33203125" style="525" customWidth="1"/>
    <col min="2" max="2" width="13" style="525" customWidth="1"/>
    <col min="3" max="3" width="24.77734375" style="525" customWidth="1"/>
    <col min="4" max="4" width="13.109375" style="525" customWidth="1"/>
    <col min="5" max="8" width="11.77734375" style="525" customWidth="1"/>
    <col min="9" max="9" width="13.109375" style="525" customWidth="1"/>
    <col min="10" max="10" width="9.77734375" style="525"/>
    <col min="11" max="11" width="11.33203125" style="525" bestFit="1" customWidth="1"/>
    <col min="12" max="12" width="11.21875" style="525" customWidth="1"/>
    <col min="13" max="16384" width="9.77734375" style="525"/>
  </cols>
  <sheetData>
    <row r="1" spans="1:14" ht="15.75">
      <c r="A1" s="180" t="str">
        <f>'Sources and Use-shltr'!A1</f>
        <v>Homeless Development Model E- shelter</v>
      </c>
      <c r="B1" s="145"/>
      <c r="C1" s="709"/>
      <c r="D1" s="709"/>
      <c r="E1" s="709"/>
      <c r="H1" s="180"/>
      <c r="I1" s="180"/>
      <c r="J1" s="709"/>
      <c r="K1" s="709"/>
      <c r="L1" s="709"/>
      <c r="M1" s="709"/>
      <c r="N1" s="709"/>
    </row>
    <row r="2" spans="1:14" ht="15.75">
      <c r="A2" s="180" t="str">
        <f>'Sources and Use-shltr'!A2</f>
        <v>Construction Loan / Permanent Loan</v>
      </c>
      <c r="B2" s="145"/>
      <c r="C2" s="709"/>
      <c r="D2" s="709"/>
      <c r="E2" s="605"/>
      <c r="F2" s="593"/>
      <c r="H2" s="180" t="str">
        <f>'Sources and Use-shltr'!C2</f>
        <v>Units:</v>
      </c>
      <c r="I2" s="457">
        <v>100</v>
      </c>
      <c r="J2" s="709"/>
      <c r="K2" s="709"/>
      <c r="L2" s="709"/>
      <c r="M2" s="709"/>
      <c r="N2" s="709"/>
    </row>
    <row r="3" spans="1:14" ht="15.75" thickBot="1">
      <c r="A3" s="1213"/>
      <c r="B3" s="1213"/>
      <c r="C3" s="1213"/>
      <c r="D3" s="1213"/>
      <c r="E3" s="1213"/>
      <c r="F3" s="1213"/>
      <c r="G3" s="1213"/>
      <c r="H3" s="1213"/>
      <c r="I3" s="1213"/>
      <c r="J3" s="709"/>
      <c r="K3" s="709"/>
      <c r="L3" s="709"/>
      <c r="M3" s="709"/>
      <c r="N3" s="709"/>
    </row>
    <row r="4" spans="1:14" ht="18.75" customHeight="1" thickTop="1">
      <c r="A4" s="243" t="s">
        <v>128</v>
      </c>
      <c r="B4" s="1214" t="s">
        <v>343</v>
      </c>
      <c r="C4" s="709"/>
      <c r="D4" s="488" t="s">
        <v>340</v>
      </c>
      <c r="E4" s="488" t="s">
        <v>341</v>
      </c>
      <c r="F4" s="489"/>
      <c r="G4" s="145"/>
      <c r="H4" s="709"/>
      <c r="I4" s="1215"/>
      <c r="J4" s="709"/>
      <c r="K4" s="709"/>
      <c r="L4" s="709"/>
      <c r="M4" s="709"/>
      <c r="N4" s="709"/>
    </row>
    <row r="5" spans="1:14" ht="15.75">
      <c r="A5" s="1216">
        <f>B5/$B$9</f>
        <v>0.94827586206896552</v>
      </c>
      <c r="B5" s="534">
        <f>100*550</f>
        <v>55000</v>
      </c>
      <c r="C5" s="655" t="s">
        <v>493</v>
      </c>
      <c r="D5" s="656">
        <f>E5/B5</f>
        <v>0.79545454545454541</v>
      </c>
      <c r="E5" s="657">
        <f>E23</f>
        <v>43750</v>
      </c>
      <c r="F5" s="490"/>
      <c r="G5" s="1217"/>
      <c r="H5" s="709"/>
      <c r="I5" s="1218"/>
      <c r="J5" s="709"/>
      <c r="K5" s="709"/>
      <c r="L5" s="709"/>
      <c r="M5" s="709"/>
      <c r="N5" s="709"/>
    </row>
    <row r="6" spans="1:14" s="967" customFormat="1">
      <c r="A6" s="1362">
        <f>B6/$B$9</f>
        <v>0</v>
      </c>
      <c r="B6" s="658">
        <v>0</v>
      </c>
      <c r="C6" s="659" t="s">
        <v>337</v>
      </c>
      <c r="D6" s="660">
        <v>0</v>
      </c>
      <c r="E6" s="661">
        <f>D6*B6</f>
        <v>0</v>
      </c>
      <c r="F6" s="1363"/>
      <c r="G6" s="1364"/>
      <c r="H6" s="966"/>
      <c r="I6" s="1365"/>
      <c r="J6" s="966"/>
      <c r="K6" s="966"/>
      <c r="L6" s="966"/>
      <c r="M6" s="966"/>
      <c r="N6" s="966"/>
    </row>
    <row r="7" spans="1:14">
      <c r="A7" s="1216">
        <f>B7/$B$9</f>
        <v>5.1724137931034482E-2</v>
      </c>
      <c r="B7" s="534">
        <v>3000</v>
      </c>
      <c r="C7" s="655" t="s">
        <v>338</v>
      </c>
      <c r="D7" s="656">
        <v>1</v>
      </c>
      <c r="E7" s="657">
        <f>D7*B7</f>
        <v>3000</v>
      </c>
      <c r="F7" s="1366" t="s">
        <v>539</v>
      </c>
      <c r="G7" s="1217"/>
      <c r="H7" s="709"/>
      <c r="I7" s="1218"/>
      <c r="J7" s="709"/>
      <c r="K7" s="709"/>
      <c r="L7" s="709"/>
      <c r="M7" s="709"/>
      <c r="N7" s="709"/>
    </row>
    <row r="8" spans="1:14">
      <c r="A8" s="1216">
        <f>B8/$B$9</f>
        <v>0</v>
      </c>
      <c r="B8" s="658">
        <v>0</v>
      </c>
      <c r="C8" s="659" t="s">
        <v>339</v>
      </c>
      <c r="D8" s="660">
        <v>0</v>
      </c>
      <c r="E8" s="661">
        <f>D8*B8</f>
        <v>0</v>
      </c>
      <c r="F8" s="655"/>
      <c r="G8" s="1217"/>
      <c r="H8" s="709"/>
      <c r="I8" s="1218"/>
      <c r="J8" s="709"/>
      <c r="K8" s="709"/>
      <c r="L8" s="709"/>
      <c r="M8" s="709"/>
      <c r="N8" s="709"/>
    </row>
    <row r="9" spans="1:14" ht="15.75">
      <c r="A9" s="1219"/>
      <c r="B9" s="509">
        <f>SUM(B5:B8)</f>
        <v>58000</v>
      </c>
      <c r="C9" s="192" t="s">
        <v>344</v>
      </c>
      <c r="D9" s="491"/>
      <c r="E9" s="491">
        <f>SUM(E5:E8)</f>
        <v>46750</v>
      </c>
      <c r="F9" s="492" t="s">
        <v>342</v>
      </c>
      <c r="G9" s="1217"/>
      <c r="H9" s="709"/>
      <c r="I9" s="1218"/>
      <c r="J9" s="709"/>
      <c r="K9" s="709"/>
      <c r="L9" s="709"/>
      <c r="M9" s="709"/>
      <c r="N9" s="709"/>
    </row>
    <row r="10" spans="1:14" ht="15.75">
      <c r="A10" s="240"/>
      <c r="B10" s="1214"/>
      <c r="D10" s="190"/>
      <c r="E10" s="1359"/>
      <c r="F10" s="192"/>
      <c r="G10" s="1217"/>
      <c r="H10" s="709"/>
      <c r="I10" s="1218"/>
      <c r="J10" s="709"/>
      <c r="K10" s="709"/>
      <c r="L10" s="709"/>
      <c r="M10" s="709"/>
      <c r="N10" s="709"/>
    </row>
    <row r="11" spans="1:14" ht="15.75">
      <c r="A11" s="249"/>
      <c r="B11" s="1220"/>
      <c r="C11" s="1221"/>
      <c r="D11" s="252"/>
      <c r="E11" s="252"/>
      <c r="F11" s="1222"/>
      <c r="G11" s="1223"/>
      <c r="H11" s="1224"/>
      <c r="I11" s="1225"/>
      <c r="J11" s="709"/>
      <c r="K11" s="709"/>
      <c r="L11" s="709"/>
      <c r="M11" s="709"/>
      <c r="N11" s="709"/>
    </row>
    <row r="12" spans="1:14" ht="16.5" thickBot="1">
      <c r="A12" s="232"/>
      <c r="B12" s="1226"/>
      <c r="C12" s="1227"/>
      <c r="D12" s="235"/>
      <c r="E12" s="1228"/>
      <c r="F12" s="1229"/>
      <c r="G12" s="1229"/>
      <c r="H12" s="1213"/>
      <c r="I12" s="1213"/>
      <c r="J12" s="709"/>
      <c r="K12" s="709"/>
      <c r="L12" s="709"/>
      <c r="M12" s="709"/>
      <c r="N12" s="709"/>
    </row>
    <row r="13" spans="1:14" ht="16.5" thickTop="1">
      <c r="A13" s="1349" t="s">
        <v>120</v>
      </c>
      <c r="B13" s="1350"/>
      <c r="C13" s="1351"/>
      <c r="D13" s="190"/>
      <c r="E13" s="1230"/>
      <c r="F13" s="709"/>
      <c r="G13" s="708"/>
      <c r="H13" s="709"/>
      <c r="I13" s="1215"/>
      <c r="J13" s="709"/>
      <c r="K13" s="709"/>
      <c r="L13" s="709"/>
      <c r="M13" s="709"/>
      <c r="N13" s="709"/>
    </row>
    <row r="14" spans="1:14" ht="15" customHeight="1">
      <c r="A14" s="1352"/>
      <c r="B14" s="1350"/>
      <c r="C14" s="1350"/>
      <c r="D14" s="1350"/>
      <c r="E14" s="190" t="s">
        <v>381</v>
      </c>
      <c r="F14" s="226"/>
      <c r="G14" s="708"/>
      <c r="H14" s="709"/>
      <c r="I14" s="1218"/>
      <c r="J14" s="709"/>
      <c r="K14" s="709"/>
      <c r="L14" s="709"/>
      <c r="M14" s="709"/>
      <c r="N14" s="709"/>
    </row>
    <row r="15" spans="1:14" ht="15.75">
      <c r="A15" s="739"/>
      <c r="B15" s="1353" t="s">
        <v>0</v>
      </c>
      <c r="C15" s="1353" t="s">
        <v>64</v>
      </c>
      <c r="D15" s="1353" t="s">
        <v>121</v>
      </c>
      <c r="E15" s="190" t="s">
        <v>182</v>
      </c>
      <c r="F15" s="226"/>
      <c r="G15" s="1350"/>
      <c r="H15" s="1350" t="s">
        <v>538</v>
      </c>
      <c r="I15" s="1218"/>
      <c r="J15" s="709"/>
      <c r="K15" s="709"/>
      <c r="L15" s="709"/>
      <c r="M15" s="709"/>
      <c r="N15" s="709"/>
    </row>
    <row r="16" spans="1:14" ht="15.75">
      <c r="A16" s="1021" t="s">
        <v>63</v>
      </c>
      <c r="B16" s="1345">
        <v>0</v>
      </c>
      <c r="C16" s="1346">
        <v>2</v>
      </c>
      <c r="D16" s="1346">
        <f>C16*B16</f>
        <v>0</v>
      </c>
      <c r="E16" s="1347">
        <v>250</v>
      </c>
      <c r="F16" s="226"/>
      <c r="G16" s="1350"/>
      <c r="H16" s="1361">
        <f>B16/UNITS</f>
        <v>0</v>
      </c>
      <c r="I16" s="1218"/>
      <c r="J16" s="709"/>
      <c r="K16" s="709"/>
      <c r="L16" s="709"/>
      <c r="M16" s="709"/>
      <c r="N16" s="709"/>
    </row>
    <row r="17" spans="1:14" ht="15.75">
      <c r="A17" s="1021" t="s">
        <v>320</v>
      </c>
      <c r="B17" s="1345">
        <v>30</v>
      </c>
      <c r="C17" s="1346">
        <v>3</v>
      </c>
      <c r="D17" s="1346">
        <f>B17*C17</f>
        <v>90</v>
      </c>
      <c r="E17" s="1347">
        <v>325</v>
      </c>
      <c r="F17" s="226"/>
      <c r="G17" s="708"/>
      <c r="H17" s="1361">
        <f>B17/UNITS</f>
        <v>0.3</v>
      </c>
      <c r="I17" s="1218"/>
      <c r="J17" s="709"/>
      <c r="K17" s="709"/>
      <c r="L17" s="709"/>
      <c r="M17" s="709"/>
      <c r="N17" s="709"/>
    </row>
    <row r="18" spans="1:14" ht="15.75">
      <c r="A18" s="1021" t="s">
        <v>321</v>
      </c>
      <c r="B18" s="1345">
        <v>50</v>
      </c>
      <c r="C18" s="1346">
        <v>4</v>
      </c>
      <c r="D18" s="1354">
        <f>B18*C18</f>
        <v>200</v>
      </c>
      <c r="E18" s="1347">
        <v>450</v>
      </c>
      <c r="F18" s="192"/>
      <c r="G18" s="708"/>
      <c r="H18" s="1361">
        <f>B18/UNITS</f>
        <v>0.5</v>
      </c>
      <c r="I18" s="1218"/>
      <c r="J18" s="709"/>
      <c r="K18" s="709"/>
      <c r="L18" s="709"/>
      <c r="M18" s="709"/>
      <c r="N18" s="709"/>
    </row>
    <row r="19" spans="1:14" ht="15.75">
      <c r="A19" s="1021" t="s">
        <v>322</v>
      </c>
      <c r="B19" s="1345">
        <v>20</v>
      </c>
      <c r="C19" s="1346">
        <v>5</v>
      </c>
      <c r="D19" s="1354">
        <f>C19*B19</f>
        <v>100</v>
      </c>
      <c r="E19" s="1348">
        <v>575</v>
      </c>
      <c r="F19" s="1231"/>
      <c r="G19" s="708"/>
      <c r="H19" s="1361">
        <f>B19/UNITS</f>
        <v>0.2</v>
      </c>
      <c r="I19" s="1218"/>
      <c r="J19" s="709"/>
      <c r="K19" s="709"/>
      <c r="L19" s="709"/>
      <c r="M19" s="709"/>
      <c r="N19" s="709"/>
    </row>
    <row r="20" spans="1:14" ht="15.75">
      <c r="A20" s="1021" t="s">
        <v>356</v>
      </c>
      <c r="B20" s="1345">
        <v>0</v>
      </c>
      <c r="C20" s="1346">
        <v>6</v>
      </c>
      <c r="D20" s="1354">
        <f>C20*B20</f>
        <v>0</v>
      </c>
      <c r="E20" s="1347">
        <v>650</v>
      </c>
      <c r="F20" s="1231"/>
      <c r="G20" s="708"/>
      <c r="H20" s="1361">
        <f>B20/UNITS</f>
        <v>0</v>
      </c>
      <c r="I20" s="1218"/>
      <c r="J20" s="709"/>
      <c r="K20" s="709"/>
      <c r="L20" s="709"/>
      <c r="M20" s="709"/>
      <c r="N20" s="709"/>
    </row>
    <row r="21" spans="1:14" ht="15.75">
      <c r="A21" s="1355" t="s">
        <v>52</v>
      </c>
      <c r="B21" s="1356">
        <f>SUM(B16:B20)</f>
        <v>100</v>
      </c>
      <c r="C21" s="1356"/>
      <c r="D21" s="1356">
        <f>SUM(D16:D19)</f>
        <v>390</v>
      </c>
      <c r="E21" s="709"/>
      <c r="F21" s="709"/>
      <c r="G21" s="708"/>
      <c r="H21" s="708"/>
      <c r="I21" s="1218"/>
      <c r="J21" s="709"/>
      <c r="K21" s="709"/>
      <c r="L21" s="709"/>
      <c r="M21" s="709"/>
      <c r="N21" s="709"/>
    </row>
    <row r="22" spans="1:14" ht="15.75">
      <c r="A22" s="1021" t="s">
        <v>77</v>
      </c>
      <c r="B22" s="534">
        <v>0</v>
      </c>
      <c r="C22" s="534">
        <v>4</v>
      </c>
      <c r="D22" s="1357">
        <f>C22*B22</f>
        <v>0</v>
      </c>
      <c r="E22" s="534">
        <f>E18</f>
        <v>450</v>
      </c>
      <c r="F22" s="226"/>
      <c r="G22" s="708"/>
      <c r="H22" s="708"/>
      <c r="I22" s="1218"/>
      <c r="J22" s="709"/>
      <c r="K22" s="709"/>
      <c r="L22" s="709"/>
      <c r="M22" s="709"/>
      <c r="N22" s="709"/>
    </row>
    <row r="23" spans="1:14" ht="15.75">
      <c r="A23" s="1355" t="s">
        <v>1</v>
      </c>
      <c r="B23" s="1356">
        <f>B22+B21</f>
        <v>100</v>
      </c>
      <c r="C23" s="1358"/>
      <c r="D23" s="1356">
        <f>SUM(D21:D22)</f>
        <v>390</v>
      </c>
      <c r="E23" s="190">
        <f>B16*E16+B17*E17+B18*E18+B19*E19+B20*E20+B22*E22</f>
        <v>43750</v>
      </c>
      <c r="F23" s="256" t="s">
        <v>382</v>
      </c>
      <c r="G23" s="708"/>
      <c r="H23" s="708"/>
      <c r="I23" s="1218"/>
      <c r="J23" s="709"/>
      <c r="K23" s="709"/>
      <c r="L23" s="709"/>
      <c r="M23" s="709"/>
      <c r="N23" s="709"/>
    </row>
    <row r="24" spans="1:14">
      <c r="A24" s="1232"/>
      <c r="B24" s="709"/>
      <c r="C24" s="709"/>
      <c r="D24" s="709"/>
      <c r="E24" s="1233">
        <f>E23/B23</f>
        <v>437.5</v>
      </c>
      <c r="F24" s="1234" t="s">
        <v>383</v>
      </c>
      <c r="G24" s="709"/>
      <c r="H24" s="709"/>
      <c r="I24" s="1218"/>
      <c r="J24" s="709"/>
      <c r="K24" s="709"/>
      <c r="L24" s="709"/>
      <c r="M24" s="709"/>
      <c r="N24" s="709"/>
    </row>
    <row r="25" spans="1:14">
      <c r="A25" s="1235"/>
      <c r="B25" s="1224"/>
      <c r="C25" s="1224"/>
      <c r="D25" s="1224"/>
      <c r="E25" s="1236"/>
      <c r="F25" s="1236"/>
      <c r="G25" s="1224"/>
      <c r="H25" s="1224"/>
      <c r="I25" s="1225"/>
      <c r="J25" s="709"/>
      <c r="K25" s="709"/>
      <c r="L25" s="709"/>
      <c r="M25" s="709"/>
      <c r="N25" s="709"/>
    </row>
    <row r="26" spans="1:14">
      <c r="B26" s="1214"/>
      <c r="C26" s="1214"/>
      <c r="D26" s="1214"/>
      <c r="E26" s="145"/>
      <c r="F26" s="145"/>
      <c r="G26" s="145"/>
      <c r="H26" s="709"/>
      <c r="I26" s="1237"/>
      <c r="J26" s="709"/>
      <c r="K26" s="709"/>
      <c r="L26" s="709"/>
      <c r="M26" s="709"/>
      <c r="N26" s="709"/>
    </row>
    <row r="28" spans="1:14">
      <c r="E28" s="525">
        <f>B5/I2</f>
        <v>550</v>
      </c>
      <c r="F28" s="525" t="s">
        <v>494</v>
      </c>
    </row>
    <row r="30" spans="1:14">
      <c r="E30" s="1360">
        <f>B5-E23</f>
        <v>11250</v>
      </c>
      <c r="F30" s="525" t="s">
        <v>537</v>
      </c>
      <c r="G30" s="1361">
        <f>E30/B5</f>
        <v>0.20454545454545456</v>
      </c>
    </row>
  </sheetData>
  <pageMargins left="0.75" right="0.5" top="0.5" bottom="0.5" header="0.5" footer="0.5"/>
  <pageSetup scale="45" firstPageNumber="209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6"/>
  <sheetViews>
    <sheetView workbookViewId="0">
      <selection activeCell="A6" sqref="A6"/>
    </sheetView>
  </sheetViews>
  <sheetFormatPr defaultRowHeight="15"/>
  <sheetData>
    <row r="1" spans="1:1">
      <c r="A1" t="s">
        <v>507</v>
      </c>
    </row>
    <row r="3" spans="1:1">
      <c r="A3" s="598" t="s">
        <v>540</v>
      </c>
    </row>
    <row r="4" spans="1:1">
      <c r="A4" s="598" t="s">
        <v>541</v>
      </c>
    </row>
    <row r="6" spans="1:1">
      <c r="A6" s="598" t="s">
        <v>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5" sqref="E25"/>
    </sheetView>
  </sheetViews>
  <sheetFormatPr defaultRowHeight="15"/>
  <sheetData>
    <row r="1" spans="1:1">
      <c r="A1" t="s">
        <v>475</v>
      </c>
    </row>
    <row r="2" spans="1:1">
      <c r="A2" t="s">
        <v>476</v>
      </c>
    </row>
    <row r="3" spans="1:1">
      <c r="A3" t="s">
        <v>477</v>
      </c>
    </row>
    <row r="4" spans="1:1">
      <c r="A4" t="s">
        <v>478</v>
      </c>
    </row>
    <row r="5" spans="1:1">
      <c r="A5" t="s">
        <v>479</v>
      </c>
    </row>
    <row r="6" spans="1:1">
      <c r="A6" t="s">
        <v>480</v>
      </c>
    </row>
    <row r="7" spans="1:1">
      <c r="A7" t="s">
        <v>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44"/>
  <sheetViews>
    <sheetView defaultGridColor="0" colorId="22" zoomScale="75" zoomScaleNormal="75" zoomScaleSheetLayoutView="75" workbookViewId="0">
      <selection activeCell="A2" sqref="A2"/>
    </sheetView>
  </sheetViews>
  <sheetFormatPr defaultColWidth="9.77734375" defaultRowHeight="15"/>
  <cols>
    <col min="1" max="1" width="43.44140625" style="43" customWidth="1"/>
    <col min="2" max="2" width="15.88671875" style="43" customWidth="1"/>
    <col min="3" max="3" width="14" style="56" customWidth="1"/>
    <col min="4" max="4" width="10.77734375" style="58" customWidth="1"/>
    <col min="5" max="16384" width="9.77734375" style="43"/>
  </cols>
  <sheetData>
    <row r="1" spans="1:8" ht="15.75">
      <c r="A1" s="411" t="s">
        <v>472</v>
      </c>
      <c r="B1" s="49"/>
      <c r="C1" s="380"/>
      <c r="D1" s="543"/>
      <c r="E1" s="17"/>
      <c r="F1" s="17"/>
      <c r="G1" s="17"/>
      <c r="H1" s="17"/>
    </row>
    <row r="2" spans="1:8" ht="15.75">
      <c r="A2" s="379" t="s">
        <v>542</v>
      </c>
      <c r="B2" s="1159"/>
      <c r="C2" s="413" t="s">
        <v>218</v>
      </c>
      <c r="D2" s="412">
        <f>'Units &amp; Income_rent'!B23</f>
        <v>100</v>
      </c>
      <c r="E2" s="17"/>
      <c r="F2" s="17"/>
      <c r="G2" s="17"/>
      <c r="H2" s="17"/>
    </row>
    <row r="3" spans="1:8" ht="23.25">
      <c r="A3" s="8"/>
      <c r="B3" s="604"/>
      <c r="C3" s="59"/>
      <c r="D3" s="57"/>
      <c r="H3" s="17"/>
    </row>
    <row r="4" spans="1:8" ht="15.75">
      <c r="A4" s="24" t="s">
        <v>9</v>
      </c>
      <c r="B4" s="605"/>
      <c r="C4" s="60"/>
      <c r="D4" s="50"/>
      <c r="E4" s="11"/>
      <c r="H4" s="17"/>
    </row>
    <row r="5" spans="1:8" ht="16.5" thickBot="1">
      <c r="A5" s="210"/>
      <c r="B5" s="211"/>
      <c r="C5" s="212"/>
      <c r="D5" s="213"/>
      <c r="E5" s="11"/>
      <c r="F5" s="11"/>
      <c r="G5" s="11"/>
      <c r="H5" s="17"/>
    </row>
    <row r="6" spans="1:8" ht="16.5" thickTop="1">
      <c r="A6" s="219" t="s">
        <v>80</v>
      </c>
      <c r="B6" s="17"/>
      <c r="C6" s="62" t="s">
        <v>118</v>
      </c>
      <c r="D6" s="222" t="s">
        <v>119</v>
      </c>
      <c r="E6" s="11"/>
      <c r="F6" s="11"/>
      <c r="G6" s="20"/>
      <c r="H6" s="17"/>
    </row>
    <row r="7" spans="1:8">
      <c r="A7" s="399" t="str">
        <f>'Devel. Bud'!A75</f>
        <v>First Mortgage (Lender:  HDC Tax-Exempt Bonds  )</v>
      </c>
      <c r="B7" s="532">
        <f>'Devel. Bud'!D75</f>
        <v>22678799.252684582</v>
      </c>
      <c r="C7" s="61">
        <f>B7/$D$2</f>
        <v>226787.99252684583</v>
      </c>
      <c r="D7" s="39">
        <f t="shared" ref="D7:D15" ca="1" si="0">B7/$B$17</f>
        <v>0.50009999918067238</v>
      </c>
      <c r="E7" s="51" t="s">
        <v>115</v>
      </c>
      <c r="F7" s="11"/>
      <c r="G7" s="16"/>
      <c r="H7" s="17"/>
    </row>
    <row r="8" spans="1:8">
      <c r="A8" s="399" t="str">
        <f>'Devel. Bud'!A76</f>
        <v>Second Mortgage (Lender: **bridge loan during constr @ 4.8% )</v>
      </c>
      <c r="B8" s="532">
        <f ca="1">'Devel. Bud'!D76</f>
        <v>8034705.2498340188</v>
      </c>
      <c r="C8" s="61">
        <f t="shared" ref="C8:C15" ca="1" si="1">B8/$D$2</f>
        <v>80347.052498340185</v>
      </c>
      <c r="D8" s="39">
        <f t="shared" ca="1" si="0"/>
        <v>0.17717675632158045</v>
      </c>
      <c r="E8" s="11"/>
      <c r="F8" s="11"/>
      <c r="G8" s="16"/>
      <c r="H8" s="17"/>
    </row>
    <row r="9" spans="1:8" hidden="1">
      <c r="A9" s="399" t="str">
        <f>'Devel. Bud'!A77</f>
        <v>Third Mortgage (Lender:  City capital subsidy- perm units)</v>
      </c>
      <c r="B9" s="532">
        <f>'Devel. Bud'!D77</f>
        <v>9710000</v>
      </c>
      <c r="C9" s="61">
        <f t="shared" si="1"/>
        <v>97100</v>
      </c>
      <c r="D9" s="39">
        <f t="shared" ca="1" si="0"/>
        <v>0.21411940455663708</v>
      </c>
      <c r="E9" s="11"/>
      <c r="F9" s="11"/>
      <c r="G9" s="16"/>
      <c r="H9" s="17"/>
    </row>
    <row r="10" spans="1:8" hidden="1">
      <c r="A10" s="399" t="str">
        <f>'Devel. Bud'!A78</f>
        <v>Fourth Mortgage (Lender:                                )</v>
      </c>
      <c r="B10" s="532">
        <f>'Devel. Bud'!D78</f>
        <v>0</v>
      </c>
      <c r="C10" s="61">
        <f t="shared" si="1"/>
        <v>0</v>
      </c>
      <c r="D10" s="39">
        <f t="shared" ca="1" si="0"/>
        <v>0</v>
      </c>
      <c r="E10" s="11"/>
      <c r="F10" s="11"/>
      <c r="G10" s="16"/>
      <c r="H10" s="17"/>
    </row>
    <row r="11" spans="1:8" hidden="1">
      <c r="A11" s="399" t="s">
        <v>353</v>
      </c>
      <c r="B11" s="532">
        <f>'Devel. Bud'!D79</f>
        <v>0</v>
      </c>
      <c r="C11" s="61">
        <f t="shared" si="1"/>
        <v>0</v>
      </c>
      <c r="D11" s="39">
        <f t="shared" ca="1" si="0"/>
        <v>0</v>
      </c>
      <c r="E11" s="11"/>
      <c r="F11" s="11"/>
      <c r="G11" s="16"/>
      <c r="H11" s="17"/>
    </row>
    <row r="12" spans="1:8">
      <c r="A12" s="458" t="str">
        <f>'Devel. Bud'!A80</f>
        <v>Tax Credit Equity</v>
      </c>
      <c r="B12" s="592">
        <f>'Devel. Bud'!D80</f>
        <v>512470.34874749999</v>
      </c>
      <c r="C12" s="61">
        <f t="shared" si="1"/>
        <v>5124.7034874749997</v>
      </c>
      <c r="D12" s="39">
        <f t="shared" ca="1" si="0"/>
        <v>1.1300705038799881E-2</v>
      </c>
      <c r="E12" s="11"/>
      <c r="F12" s="11"/>
      <c r="G12" s="16"/>
      <c r="H12" s="17"/>
    </row>
    <row r="13" spans="1:8">
      <c r="A13" s="458" t="str">
        <f>'Devel. Bud'!A81</f>
        <v>Deferred Developer's Fee</v>
      </c>
      <c r="B13" s="592">
        <f ca="1">'Devel. Bud'!D81</f>
        <v>4312554.0226388881</v>
      </c>
      <c r="C13" s="61">
        <f t="shared" ca="1" si="1"/>
        <v>43125.540226388883</v>
      </c>
      <c r="D13" s="39">
        <f t="shared" ca="1" si="0"/>
        <v>9.5097991703992663E-2</v>
      </c>
      <c r="E13" s="11"/>
      <c r="F13" s="11"/>
      <c r="G13" s="16"/>
      <c r="H13" s="17"/>
    </row>
    <row r="14" spans="1:8">
      <c r="A14" s="458" t="str">
        <f>'Devel. Bud'!A83</f>
        <v>Other source (Specify: Deferred Capitalized/Operating Reserves )</v>
      </c>
      <c r="B14" s="592">
        <f>'Devel. Bud'!D83</f>
        <v>100000</v>
      </c>
      <c r="C14" s="61">
        <f t="shared" si="1"/>
        <v>1000</v>
      </c>
      <c r="D14" s="39">
        <f t="shared" ca="1" si="0"/>
        <v>2.2051431983175808E-3</v>
      </c>
      <c r="E14" s="11"/>
      <c r="F14" s="11"/>
      <c r="G14" s="16"/>
      <c r="H14" s="17"/>
    </row>
    <row r="15" spans="1:8" hidden="1">
      <c r="A15" s="458" t="str">
        <f>A28</f>
        <v>Other source (Specify: Reso A funds                       )</v>
      </c>
      <c r="B15" s="592">
        <f>B28</f>
        <v>0</v>
      </c>
      <c r="C15" s="61">
        <f t="shared" si="1"/>
        <v>0</v>
      </c>
      <c r="D15" s="39">
        <f t="shared" ca="1" si="0"/>
        <v>0</v>
      </c>
      <c r="E15" s="11"/>
      <c r="F15" s="11"/>
      <c r="G15" s="16"/>
      <c r="H15" s="17"/>
    </row>
    <row r="16" spans="1:8">
      <c r="A16" s="156"/>
      <c r="B16" s="618"/>
      <c r="C16" s="617"/>
      <c r="D16" s="39"/>
      <c r="E16" s="17"/>
      <c r="F16" s="21"/>
      <c r="G16" s="16"/>
      <c r="H16" s="52"/>
    </row>
    <row r="17" spans="1:8">
      <c r="A17" s="64" t="s">
        <v>10</v>
      </c>
      <c r="B17" s="619">
        <f ca="1">B7+B8+B9+B11+B12+B13+B14+B15</f>
        <v>45348528.873904988</v>
      </c>
      <c r="C17" s="620">
        <f ca="1">B17/$D$2</f>
        <v>453485.28873904987</v>
      </c>
      <c r="D17" s="218">
        <f ca="1">D7+D8+D11+D12+D13+D9+D14+D15</f>
        <v>1.0000000000000002</v>
      </c>
      <c r="E17" s="11"/>
      <c r="F17" s="53"/>
      <c r="G17" s="16"/>
      <c r="H17" s="17"/>
    </row>
    <row r="18" spans="1:8" ht="15.75" thickBot="1">
      <c r="A18" s="211"/>
      <c r="B18" s="621"/>
      <c r="C18" s="622"/>
      <c r="D18" s="215"/>
      <c r="E18" s="11"/>
      <c r="F18" s="11"/>
      <c r="G18" s="11"/>
      <c r="H18" s="17"/>
    </row>
    <row r="19" spans="1:8" ht="16.5" thickTop="1">
      <c r="A19" s="219" t="s">
        <v>78</v>
      </c>
      <c r="B19" s="623"/>
      <c r="C19" s="617"/>
      <c r="D19" s="217"/>
      <c r="E19" s="11"/>
      <c r="F19" s="11"/>
      <c r="G19" s="20"/>
      <c r="H19" s="17"/>
    </row>
    <row r="20" spans="1:8">
      <c r="A20" s="399" t="str">
        <f>A7</f>
        <v>First Mortgage (Lender:  HDC Tax-Exempt Bonds  )</v>
      </c>
      <c r="B20" s="532">
        <f>'Devel. Bud'!D88</f>
        <v>15350000</v>
      </c>
      <c r="C20" s="1036">
        <f>B20/$D$2</f>
        <v>153500</v>
      </c>
      <c r="D20" s="39">
        <f ca="1">B20/B30</f>
        <v>0.33848948094174863</v>
      </c>
      <c r="E20" s="11"/>
      <c r="F20" s="11"/>
      <c r="G20" s="16"/>
      <c r="H20" s="17"/>
    </row>
    <row r="21" spans="1:8">
      <c r="A21" s="399" t="str">
        <f>A8</f>
        <v>Second Mortgage (Lender: **bridge loan during constr @ 4.8% )</v>
      </c>
      <c r="B21" s="592">
        <f>'Devel. Bud'!D89</f>
        <v>9710000</v>
      </c>
      <c r="C21" s="1036">
        <f t="shared" ref="C21:C26" si="2">B21/$D$2</f>
        <v>97100</v>
      </c>
      <c r="D21" s="39">
        <f ca="1">B21/$B$30</f>
        <v>0.21411940455663708</v>
      </c>
      <c r="E21" s="11"/>
      <c r="F21" s="11"/>
      <c r="G21" s="16"/>
      <c r="H21" s="17"/>
    </row>
    <row r="22" spans="1:8" hidden="1">
      <c r="A22" s="399" t="str">
        <f>A9</f>
        <v>Third Mortgage (Lender:  City capital subsidy- perm units)</v>
      </c>
      <c r="B22" s="592">
        <f>'Devel. Bud'!D90</f>
        <v>0</v>
      </c>
      <c r="C22" s="1036">
        <f t="shared" si="2"/>
        <v>0</v>
      </c>
      <c r="D22" s="39">
        <f ca="1">B22/$B$30</f>
        <v>0</v>
      </c>
      <c r="E22" s="11"/>
      <c r="F22" s="11"/>
      <c r="G22" s="16"/>
      <c r="H22" s="17"/>
    </row>
    <row r="23" spans="1:8" hidden="1">
      <c r="A23" s="399" t="str">
        <f>A10</f>
        <v>Fourth Mortgage (Lender:                                )</v>
      </c>
      <c r="B23" s="592">
        <f>'Devel. Bud'!D91</f>
        <v>0</v>
      </c>
      <c r="C23" s="61">
        <f t="shared" si="2"/>
        <v>0</v>
      </c>
      <c r="D23" s="39">
        <f ca="1">B23/$B$30</f>
        <v>0</v>
      </c>
      <c r="E23" s="11"/>
      <c r="F23" s="11"/>
      <c r="G23" s="16"/>
      <c r="H23" s="17"/>
    </row>
    <row r="24" spans="1:8" hidden="1">
      <c r="A24" s="399" t="s">
        <v>353</v>
      </c>
      <c r="B24" s="592"/>
      <c r="C24" s="61">
        <f t="shared" si="2"/>
        <v>0</v>
      </c>
      <c r="D24" s="39">
        <f ca="1">B24/$B$17</f>
        <v>0</v>
      </c>
      <c r="E24" s="11"/>
      <c r="F24" s="11"/>
      <c r="G24" s="16"/>
      <c r="H24" s="17"/>
    </row>
    <row r="25" spans="1:8">
      <c r="A25" s="399" t="str">
        <f>A12</f>
        <v>Tax Credit Equity</v>
      </c>
      <c r="B25" s="592">
        <f>'Devel. Bud'!D93</f>
        <v>17082344.958250001</v>
      </c>
      <c r="C25" s="61">
        <f t="shared" si="2"/>
        <v>170823.4495825</v>
      </c>
      <c r="D25" s="39">
        <f ca="1">B25/$B$30</f>
        <v>0.37669016795999605</v>
      </c>
      <c r="E25" s="11"/>
      <c r="F25" s="11"/>
      <c r="G25" s="16"/>
      <c r="H25" s="17"/>
    </row>
    <row r="26" spans="1:8">
      <c r="A26" s="399" t="str">
        <f>A13</f>
        <v>Deferred Developer's Fee</v>
      </c>
      <c r="B26" s="592">
        <f ca="1">'Devel. Bud'!D94</f>
        <v>3206183.9156549871</v>
      </c>
      <c r="C26" s="61">
        <f t="shared" ca="1" si="2"/>
        <v>32061.839156549871</v>
      </c>
      <c r="D26" s="39">
        <f ca="1">B26/$B$17</f>
        <v>7.0700946541618223E-2</v>
      </c>
      <c r="E26" s="11"/>
      <c r="F26" s="11"/>
      <c r="G26" s="16"/>
      <c r="H26" s="17"/>
    </row>
    <row r="27" spans="1:8" hidden="1">
      <c r="A27" s="399" t="str">
        <f>'Devel. Bud'!A95</f>
        <v>Other source (Specify:       )</v>
      </c>
      <c r="B27" s="592">
        <f>'Devel. Bud'!D95</f>
        <v>0</v>
      </c>
      <c r="C27" s="617">
        <f>B27/'Units &amp; Income'!$B$23</f>
        <v>0</v>
      </c>
      <c r="D27" s="39">
        <f ca="1">B27/$B$17</f>
        <v>0</v>
      </c>
      <c r="E27" s="11"/>
      <c r="F27" s="11"/>
      <c r="G27" s="16"/>
      <c r="H27" s="17"/>
    </row>
    <row r="28" spans="1:8" hidden="1">
      <c r="A28" s="399" t="str">
        <f>'Devel. Bud'!A96</f>
        <v>Other source (Specify: Reso A funds                       )</v>
      </c>
      <c r="B28" s="592">
        <f>'Devel. Bud'!D96</f>
        <v>0</v>
      </c>
      <c r="C28" s="617">
        <f>B28/'Units &amp; Income'!$B$23</f>
        <v>0</v>
      </c>
      <c r="D28" s="39">
        <f ca="1">B28/$B$17</f>
        <v>0</v>
      </c>
      <c r="E28" s="11"/>
      <c r="F28" s="11"/>
      <c r="G28" s="16"/>
      <c r="H28" s="17"/>
    </row>
    <row r="29" spans="1:8">
      <c r="A29" s="35"/>
      <c r="B29" s="618"/>
      <c r="C29" s="617"/>
      <c r="D29" s="39"/>
      <c r="E29" s="17"/>
      <c r="F29" s="21"/>
      <c r="G29" s="16"/>
      <c r="H29" s="52"/>
    </row>
    <row r="30" spans="1:8">
      <c r="A30" s="64" t="s">
        <v>10</v>
      </c>
      <c r="B30" s="619">
        <f ca="1">B20+B21+B22+B24+B25+B26+B27+B28</f>
        <v>45348528.873904988</v>
      </c>
      <c r="C30" s="620">
        <f ca="1">B30/$D$2</f>
        <v>453485.28873904987</v>
      </c>
      <c r="D30" s="218">
        <f ca="1">D20+D21+D22+D24+D25+D26+D27+D28</f>
        <v>1</v>
      </c>
      <c r="E30" s="11"/>
      <c r="F30" s="53"/>
      <c r="G30" s="16"/>
      <c r="H30" s="17"/>
    </row>
    <row r="31" spans="1:8" ht="15.75" thickBot="1">
      <c r="A31" s="17"/>
      <c r="B31" s="624"/>
      <c r="C31" s="625"/>
      <c r="D31" s="50"/>
      <c r="E31" s="11"/>
      <c r="F31" s="53"/>
      <c r="G31" s="16"/>
      <c r="H31" s="17"/>
    </row>
    <row r="32" spans="1:8" ht="16.5" thickTop="1">
      <c r="A32" s="219" t="s">
        <v>188</v>
      </c>
      <c r="B32" s="626"/>
      <c r="C32" s="617"/>
      <c r="D32" s="217"/>
      <c r="E32" s="11"/>
      <c r="F32" s="11"/>
      <c r="G32" s="16"/>
    </row>
    <row r="33" spans="1:7">
      <c r="A33" s="35" t="s">
        <v>11</v>
      </c>
      <c r="B33" s="627">
        <f>'Devel. Bud'!D6</f>
        <v>3792000</v>
      </c>
      <c r="C33" s="61">
        <f>B33/$D$2</f>
        <v>37920</v>
      </c>
      <c r="D33" s="39">
        <f ca="1">B33/$B$38</f>
        <v>8.3619030080202661E-2</v>
      </c>
      <c r="E33" s="11"/>
      <c r="F33" s="54"/>
      <c r="G33" s="16"/>
    </row>
    <row r="34" spans="1:7">
      <c r="A34" s="35" t="s">
        <v>12</v>
      </c>
      <c r="B34" s="592">
        <f>'Devel. Bud'!D15</f>
        <v>28350000</v>
      </c>
      <c r="C34" s="61">
        <f>B34/$D$2</f>
        <v>283500</v>
      </c>
      <c r="D34" s="39">
        <f ca="1">B34/$B$38</f>
        <v>0.62515809672303413</v>
      </c>
      <c r="E34" s="11"/>
      <c r="F34" s="11"/>
      <c r="G34" s="55"/>
    </row>
    <row r="35" spans="1:7">
      <c r="A35" s="76" t="s">
        <v>13</v>
      </c>
      <c r="B35" s="592">
        <f ca="1">B38-B33-B34-B36</f>
        <v>8893974.851266101</v>
      </c>
      <c r="C35" s="61">
        <f ca="1">B35/$D$2</f>
        <v>88939.748512661012</v>
      </c>
      <c r="D35" s="39">
        <f ca="1">B35/$B$38</f>
        <v>0.19612488149277058</v>
      </c>
      <c r="E35" s="11"/>
      <c r="F35" s="11"/>
      <c r="G35" s="55"/>
    </row>
    <row r="36" spans="1:7">
      <c r="A36" s="76" t="s">
        <v>14</v>
      </c>
      <c r="B36" s="592">
        <f ca="1">'Devel. Bud'!D69</f>
        <v>4312554.0226388881</v>
      </c>
      <c r="C36" s="61">
        <f ca="1">B36/$D$2</f>
        <v>43125.540226388883</v>
      </c>
      <c r="D36" s="39">
        <f ca="1">B36/$B$38</f>
        <v>9.5097991703992663E-2</v>
      </c>
      <c r="E36" s="11"/>
      <c r="F36" s="11"/>
      <c r="G36" s="55"/>
    </row>
    <row r="37" spans="1:7">
      <c r="A37" s="220"/>
      <c r="B37" s="618"/>
      <c r="C37" s="617"/>
      <c r="D37" s="221"/>
      <c r="E37" s="11"/>
      <c r="F37" s="11"/>
      <c r="G37" s="55"/>
    </row>
    <row r="38" spans="1:7">
      <c r="A38" s="64" t="s">
        <v>15</v>
      </c>
      <c r="B38" s="619">
        <f ca="1">'Devel. Bud'!D72</f>
        <v>45348528.873904988</v>
      </c>
      <c r="C38" s="620">
        <f ca="1">B38/$D$2</f>
        <v>453485.28873904987</v>
      </c>
      <c r="D38" s="218">
        <f ca="1">SUM(D33:D36)</f>
        <v>1</v>
      </c>
      <c r="E38" s="11"/>
      <c r="F38" s="11"/>
      <c r="G38" s="55"/>
    </row>
    <row r="39" spans="1:7">
      <c r="A39" s="17"/>
      <c r="B39" s="159"/>
      <c r="C39" s="60"/>
      <c r="D39" s="52"/>
      <c r="E39" s="11"/>
      <c r="F39" s="11"/>
      <c r="G39" s="55"/>
    </row>
    <row r="40" spans="1:7" hidden="1">
      <c r="A40" s="1028" t="s">
        <v>394</v>
      </c>
      <c r="B40" s="1029">
        <f ca="1">B17-B30</f>
        <v>0</v>
      </c>
      <c r="C40" s="60"/>
      <c r="D40" s="52"/>
      <c r="E40" s="11"/>
      <c r="F40" s="11"/>
      <c r="G40" s="11"/>
    </row>
    <row r="41" spans="1:7">
      <c r="A41" s="22"/>
      <c r="B41" s="171"/>
      <c r="C41" s="60"/>
      <c r="D41" s="50"/>
      <c r="E41" s="11"/>
      <c r="F41" s="11"/>
      <c r="G41" s="11"/>
    </row>
    <row r="42" spans="1:7" ht="18">
      <c r="A42" s="1162" t="s">
        <v>486</v>
      </c>
      <c r="B42" s="1163">
        <f>'Units &amp; Income_rent'!K41</f>
        <v>38.356164383561641</v>
      </c>
      <c r="C42" s="1164"/>
      <c r="D42" s="1165"/>
      <c r="E42" s="17"/>
      <c r="F42" s="17"/>
      <c r="G42" s="17"/>
    </row>
    <row r="43" spans="1:7">
      <c r="A43" s="17"/>
      <c r="B43" s="17"/>
      <c r="C43" s="59"/>
      <c r="D43" s="50"/>
      <c r="E43" s="17"/>
      <c r="F43" s="17"/>
      <c r="G43" s="17"/>
    </row>
    <row r="44" spans="1:7">
      <c r="A44" s="17"/>
      <c r="B44" s="17"/>
      <c r="C44" s="59"/>
      <c r="D44" s="50"/>
      <c r="E44" s="17"/>
      <c r="F44" s="17"/>
      <c r="G44" s="17"/>
    </row>
  </sheetData>
  <customSheetViews>
    <customSheetView guid="{560D4AFA-61E5-46C3-B0CD-D0EB3053A033}" scale="75" colorId="22" showPageBreaks="1" printArea="1" hiddenRows="1" showRuler="0">
      <selection activeCell="B7" sqref="B7:B14"/>
      <pageMargins left="0.75" right="0.5" top="0.75" bottom="0.5" header="0.5" footer="0.5"/>
      <pageSetup scale="90" orientation="landscape" r:id="rId1"/>
      <headerFooter alignWithMargins="0"/>
    </customSheetView>
    <customSheetView guid="{1ECE83C7-A3CE-4F97-BFD3-498FF783C0D9}" scale="75" colorId="22" showPageBreaks="1" printArea="1" showRuler="0" topLeftCell="A17">
      <selection activeCell="H29" sqref="H29"/>
      <pageMargins left="0.75" right="0.5" top="0.75" bottom="0.5" header="0.5" footer="0.5"/>
      <pageSetup scale="90" orientation="landscape" r:id="rId2"/>
      <headerFooter alignWithMargins="0"/>
    </customSheetView>
    <customSheetView guid="{6EF643BE-69F3-424E-8A44-3890161370D4}" scale="87" colorId="22" showPageBreaks="1" printArea="1" showRuler="0" topLeftCell="A4">
      <selection activeCell="H13" sqref="H13"/>
      <pageMargins left="0.5" right="0.5" top="0.5" bottom="0.5" header="0.5" footer="0.5"/>
      <pageSetup scale="96" orientation="landscape" r:id="rId3"/>
      <headerFooter alignWithMargins="0"/>
    </customSheetView>
    <customSheetView guid="{FBB4BF8E-8A9F-4E98-A6F9-5F9BF4C55C67}" scale="87" colorId="22" showPageBreaks="1" showRuler="0" topLeftCell="C5">
      <selection activeCell="I16" sqref="I16"/>
      <pageMargins left="0.5" right="0.5" top="0.5" bottom="0.5" header="0.5" footer="0.5"/>
      <pageSetup orientation="landscape" r:id="rId4"/>
      <headerFooter alignWithMargins="0"/>
    </customSheetView>
    <customSheetView guid="{EB776EFC-3589-4DB5-BEAF-1E83D9703F9E}" scale="87" colorId="22" showRuler="0" topLeftCell="A8">
      <selection activeCell="H21" sqref="H21"/>
      <pageMargins left="0.5" right="0.5" top="0.5" bottom="0.5" header="0.5" footer="0.5"/>
      <pageSetup orientation="landscape" r:id="rId5"/>
      <headerFooter alignWithMargins="0"/>
    </customSheetView>
    <customSheetView guid="{AEA5979F-5357-4ED6-A6CA-1BB80F5C7A74}" scale="87" colorId="22" showPageBreaks="1" printArea="1" showRuler="0">
      <selection activeCell="A21" sqref="A21"/>
      <pageMargins left="0.5" right="0.5" top="0.5" bottom="0.5" header="0.5" footer="0.5"/>
      <pageSetup scale="96" orientation="landscape" r:id="rId6"/>
      <headerFooter alignWithMargins="0"/>
    </customSheetView>
    <customSheetView guid="{28F81D13-D146-4D67-8981-BA5D7A496326}" scale="87" colorId="22" showPageBreaks="1" printArea="1" showRuler="0" topLeftCell="A7">
      <selection activeCell="H12" sqref="H12"/>
      <pageMargins left="0.5" right="0.5" top="0.5" bottom="0.5" header="0.5" footer="0.5"/>
      <pageSetup scale="96" orientation="landscape" r:id="rId7"/>
      <headerFooter alignWithMargins="0"/>
    </customSheetView>
    <customSheetView guid="{25C4E7E7-1006-4A2D-BC83-AEE4ADF8A914}" scale="75" colorId="22" showPageBreaks="1" printArea="1" hiddenRows="1" showRuler="0">
      <selection activeCell="A33" sqref="A33"/>
      <pageMargins left="0.75" right="0.5" top="0.75" bottom="0.5" header="0.5" footer="0.5"/>
      <pageSetup scale="90" orientation="landscape" r:id="rId8"/>
      <headerFooter alignWithMargins="0"/>
    </customSheetView>
  </customSheetViews>
  <phoneticPr fontId="0" type="noConversion"/>
  <pageMargins left="0.75" right="0.5" top="0.75" bottom="0.5" header="0.5" footer="0.5"/>
  <pageSetup scale="90" firstPageNumber="206" orientation="portrait" useFirstPageNumber="1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32</vt:i4>
      </vt:variant>
    </vt:vector>
  </HeadingPairs>
  <TitlesOfParts>
    <vt:vector size="54" baseType="lpstr">
      <vt:lpstr>SUMMARY</vt:lpstr>
      <vt:lpstr>SHELTER--&gt;</vt:lpstr>
      <vt:lpstr>Sources and Use-shltr</vt:lpstr>
      <vt:lpstr>Devel. Bud-shltr</vt:lpstr>
      <vt:lpstr>Constr Interest-shltr</vt:lpstr>
      <vt:lpstr>Units &amp; Income_shltr</vt:lpstr>
      <vt:lpstr>PERM--&gt;</vt:lpstr>
      <vt:lpstr>basis regs</vt:lpstr>
      <vt:lpstr>Sources and Uses</vt:lpstr>
      <vt:lpstr>Devel. Bud</vt:lpstr>
      <vt:lpstr>Cons Int &amp; Neg Arb</vt:lpstr>
      <vt:lpstr>Units &amp; Income_rent</vt:lpstr>
      <vt:lpstr>M and O</vt:lpstr>
      <vt:lpstr>Cash Flow</vt:lpstr>
      <vt:lpstr>Mort</vt:lpstr>
      <vt:lpstr>Tax Credit </vt:lpstr>
      <vt:lpstr>NOT USED-&gt;</vt:lpstr>
      <vt:lpstr>Units &amp; Income</vt:lpstr>
      <vt:lpstr>Trade Pmt</vt:lpstr>
      <vt:lpstr>Fl Area Summary</vt:lpstr>
      <vt:lpstr>Acquis Budg</vt:lpstr>
      <vt:lpstr>TD loan</vt:lpstr>
      <vt:lpstr>'Devel. Bud-shltr'!DEVFEE</vt:lpstr>
      <vt:lpstr>DEVFEE</vt:lpstr>
      <vt:lpstr>'Devel. Bud-shltr'!EQUITY</vt:lpstr>
      <vt:lpstr>EQUITY</vt:lpstr>
      <vt:lpstr>Expenses</vt:lpstr>
      <vt:lpstr>FIRST</vt:lpstr>
      <vt:lpstr>'Units &amp; Income_rent'!LAUNDRY</vt:lpstr>
      <vt:lpstr>LAUNDRY</vt:lpstr>
      <vt:lpstr>NOI</vt:lpstr>
      <vt:lpstr>'Acquis Budg'!Print_Area</vt:lpstr>
      <vt:lpstr>'Cons Int &amp; Neg Arb'!Print_Area</vt:lpstr>
      <vt:lpstr>'Constr Interest-shltr'!Print_Area</vt:lpstr>
      <vt:lpstr>'Devel. Bud'!Print_Area</vt:lpstr>
      <vt:lpstr>'Devel. Bud-shltr'!Print_Area</vt:lpstr>
      <vt:lpstr>'M and O'!Print_Area</vt:lpstr>
      <vt:lpstr>Mort!Print_Area</vt:lpstr>
      <vt:lpstr>'Sources and Uses'!Print_Area</vt:lpstr>
      <vt:lpstr>'Sources and Use-shltr'!Print_Area</vt:lpstr>
      <vt:lpstr>'Tax Credit '!Print_Area</vt:lpstr>
      <vt:lpstr>'TD loan'!Print_Area</vt:lpstr>
      <vt:lpstr>'Units &amp; Income'!Print_Area</vt:lpstr>
      <vt:lpstr>'Units &amp; Income_rent'!Print_Area</vt:lpstr>
      <vt:lpstr>'Units &amp; Income_shltr'!Print_Area</vt:lpstr>
      <vt:lpstr>'Units &amp; Income_rent'!ROOMS</vt:lpstr>
      <vt:lpstr>'Units &amp; Income_shltr'!ROOMS</vt:lpstr>
      <vt:lpstr>ROOMS</vt:lpstr>
      <vt:lpstr>SECOND</vt:lpstr>
      <vt:lpstr>Second_Mortgage</vt:lpstr>
      <vt:lpstr>TOTALLOAN</vt:lpstr>
      <vt:lpstr>'Units &amp; Income_rent'!UNITS</vt:lpstr>
      <vt:lpstr>'Units &amp; Income_shltr'!UNITS</vt:lpstr>
      <vt:lpstr>UNITS</vt:lpstr>
    </vt:vector>
  </TitlesOfParts>
  <Company>NYC Housing Development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mschatz</dc:creator>
  <cp:lastModifiedBy>Molly Wasow Park</cp:lastModifiedBy>
  <cp:lastPrinted>2014-09-22T19:08:03Z</cp:lastPrinted>
  <dcterms:created xsi:type="dcterms:W3CDTF">1998-09-24T19:31:31Z</dcterms:created>
  <dcterms:modified xsi:type="dcterms:W3CDTF">2015-03-24T13:49:26Z</dcterms:modified>
</cp:coreProperties>
</file>